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Inputs" sheetId="1" state="visible" r:id="rId3"/>
    <sheet name="Load profile" sheetId="2" state="visible" r:id="rId4"/>
    <sheet name="Sizin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<sst xmlns="http://schemas.openxmlformats.org/spreadsheetml/2006/main" count="153" uniqueCount="130">
  <si>
    <t xml:space="preserve">Solar PV sizing calculator</t>
  </si>
  <si>
    <t xml:space="preserve">Off-grid, hybrid and grid-tied sizing from a daily load profile</t>
  </si>
  <si>
    <t xml:space="preserve">Bethwel Kimaru · bethwelkimaru.space · blue = your input, black = calculated</t>
  </si>
  <si>
    <t xml:space="preserve">Site &amp; resource</t>
  </si>
  <si>
    <t xml:space="preserve">Site name</t>
  </si>
  <si>
    <t xml:space="preserve">Nairobi plant</t>
  </si>
  <si>
    <t xml:space="preserve">Free text</t>
  </si>
  <si>
    <t xml:space="preserve">Latitude</t>
  </si>
  <si>
    <t xml:space="preserve">°</t>
  </si>
  <si>
    <t xml:space="preserve">Negative = southern hemisphere</t>
  </si>
  <si>
    <t xml:space="preserve">Peak sun hours (PSH)</t>
  </si>
  <si>
    <t xml:space="preserve">kWh/m²/day</t>
  </si>
  <si>
    <t xml:space="preserve">Design month average — use the worst month</t>
  </si>
  <si>
    <t xml:space="preserve">Ambient design temperature</t>
  </si>
  <si>
    <t xml:space="preserve">°C</t>
  </si>
  <si>
    <t xml:space="preserve">Used for temperature derate</t>
  </si>
  <si>
    <t xml:space="preserve">System configuration</t>
  </si>
  <si>
    <t xml:space="preserve">System type</t>
  </si>
  <si>
    <t xml:space="preserve">Hybrid</t>
  </si>
  <si>
    <t xml:space="preserve">Off-grid / Hybrid / Grid-tied</t>
  </si>
  <si>
    <t xml:space="preserve">System DC voltage</t>
  </si>
  <si>
    <t xml:space="preserve">V</t>
  </si>
  <si>
    <t xml:space="preserve">12 / 24 / 48 V for battery systems</t>
  </si>
  <si>
    <t xml:space="preserve">Days of autonomy</t>
  </si>
  <si>
    <t xml:space="preserve">days</t>
  </si>
  <si>
    <t xml:space="preserve">0 for grid-tied, 1–3 for off-grid</t>
  </si>
  <si>
    <t xml:space="preserve">Battery depth of discharge</t>
  </si>
  <si>
    <t xml:space="preserve">fraction</t>
  </si>
  <si>
    <t xml:space="preserve">0.8 lithium, 0.5 lead-acid</t>
  </si>
  <si>
    <t xml:space="preserve">Battery round-trip efficiency</t>
  </si>
  <si>
    <t xml:space="preserve">0.94 LFP, 0.80 lead-acid</t>
  </si>
  <si>
    <t xml:space="preserve">Inverter efficiency</t>
  </si>
  <si>
    <t xml:space="preserve">From datasheet at typical load</t>
  </si>
  <si>
    <t xml:space="preserve">Losses</t>
  </si>
  <si>
    <t xml:space="preserve">Soiling loss</t>
  </si>
  <si>
    <t xml:space="preserve">0.02–0.06, higher near dust/industry</t>
  </si>
  <si>
    <t xml:space="preserve">Temperature loss</t>
  </si>
  <si>
    <t xml:space="preserve">≈0.4 %/°C above 25 °C cell temp</t>
  </si>
  <si>
    <t xml:space="preserve">Wiring &amp; mismatch loss</t>
  </si>
  <si>
    <t xml:space="preserve">Keep DC volt drop under 2 %</t>
  </si>
  <si>
    <t xml:space="preserve">Inverter &amp; MPPT loss</t>
  </si>
  <si>
    <t xml:space="preserve">1 - inverter efficiency, plus MPPT</t>
  </si>
  <si>
    <t xml:space="preserve">Module &amp; equipment</t>
  </si>
  <si>
    <t xml:space="preserve">Module rated power</t>
  </si>
  <si>
    <t xml:space="preserve">Wp</t>
  </si>
  <si>
    <t xml:space="preserve">STC nameplate</t>
  </si>
  <si>
    <t xml:space="preserve">Module Voc at STC</t>
  </si>
  <si>
    <t xml:space="preserve">For string voltage check</t>
  </si>
  <si>
    <t xml:space="preserve">Module Vmp at STC</t>
  </si>
  <si>
    <t xml:space="preserve">Voc temperature coefficient</t>
  </si>
  <si>
    <t xml:space="preserve">/°C</t>
  </si>
  <si>
    <t xml:space="preserve">Typically -0.0025 to -0.003</t>
  </si>
  <si>
    <t xml:space="preserve">Inverter max DC input voltage</t>
  </si>
  <si>
    <t xml:space="preserve">From datasheet</t>
  </si>
  <si>
    <t xml:space="preserve">Cost per Wp installed</t>
  </si>
  <si>
    <t xml:space="preserve">USD/Wp</t>
  </si>
  <si>
    <t xml:space="preserve">Turnkey, for the summary</t>
  </si>
  <si>
    <t xml:space="preserve">Grid tariff</t>
  </si>
  <si>
    <t xml:space="preserve">USD/kWh</t>
  </si>
  <si>
    <t xml:space="preserve">Blended, for payback</t>
  </si>
  <si>
    <t xml:space="preserve">Daily load profile</t>
  </si>
  <si>
    <t xml:space="preserve">List every load; the calculator sizes from the daily energy total</t>
  </si>
  <si>
    <t xml:space="preserve">Load</t>
  </si>
  <si>
    <t xml:space="preserve">Qty</t>
  </si>
  <si>
    <t xml:space="preserve">Watts each</t>
  </si>
  <si>
    <t xml:space="preserve">Hours/day</t>
  </si>
  <si>
    <t xml:space="preserve">Duty factor</t>
  </si>
  <si>
    <t xml:space="preserve">Daily energy (Wh)</t>
  </si>
  <si>
    <t xml:space="preserve">AC or DC</t>
  </si>
  <si>
    <t xml:space="preserve">LED lighting</t>
  </si>
  <si>
    <t xml:space="preserve">AC</t>
  </si>
  <si>
    <t xml:space="preserve">Office workstations</t>
  </si>
  <si>
    <t xml:space="preserve">Borehole pump</t>
  </si>
  <si>
    <t xml:space="preserve">Cold room compressor</t>
  </si>
  <si>
    <t xml:space="preserve">Workshop tools</t>
  </si>
  <si>
    <t xml:space="preserve">Control panel / PLC &amp; instruments</t>
  </si>
  <si>
    <t xml:space="preserve">DC</t>
  </si>
  <si>
    <t xml:space="preserve">Security &amp; CCTV</t>
  </si>
  <si>
    <t xml:space="preserve">Spare / future load</t>
  </si>
  <si>
    <t xml:space="preserve">Total daily energy</t>
  </si>
  <si>
    <t xml:space="preserve">Peak simultaneous demand (W)</t>
  </si>
  <si>
    <t xml:space="preserve">Sizing results</t>
  </si>
  <si>
    <t xml:space="preserve">All values calculated — change the Inputs and Load profile sheets only</t>
  </si>
  <si>
    <t xml:space="preserve">Result</t>
  </si>
  <si>
    <t xml:space="preserve">Value</t>
  </si>
  <si>
    <t xml:space="preserve">Unit</t>
  </si>
  <si>
    <t xml:space="preserve">Basis</t>
  </si>
  <si>
    <t xml:space="preserve">Daily energy demand</t>
  </si>
  <si>
    <t xml:space="preserve">kWh/day</t>
  </si>
  <si>
    <t xml:space="preserve">Sum of the load profile</t>
  </si>
  <si>
    <t xml:space="preserve">Peak demand</t>
  </si>
  <si>
    <t xml:space="preserve">kW</t>
  </si>
  <si>
    <t xml:space="preserve">Simultaneous load estimate</t>
  </si>
  <si>
    <t xml:space="preserve">Total derate factor</t>
  </si>
  <si>
    <t xml:space="preserve">Product of the four loss inputs</t>
  </si>
  <si>
    <t xml:space="preserve">Required array energy</t>
  </si>
  <si>
    <t xml:space="preserve">Demand corrected for system losses</t>
  </si>
  <si>
    <t xml:space="preserve">Array size required</t>
  </si>
  <si>
    <t xml:space="preserve">kWp</t>
  </si>
  <si>
    <t xml:space="preserve">Array energy ÷ peak sun hours</t>
  </si>
  <si>
    <t xml:space="preserve">Modules required</t>
  </si>
  <si>
    <t xml:space="preserve">no.</t>
  </si>
  <si>
    <t xml:space="preserve">Rounded up to whole modules</t>
  </si>
  <si>
    <t xml:space="preserve">Installed array capacity</t>
  </si>
  <si>
    <t xml:space="preserve">Modules × module rating</t>
  </si>
  <si>
    <t xml:space="preserve">Expected annual yield</t>
  </si>
  <si>
    <t xml:space="preserve">kWh/year</t>
  </si>
  <si>
    <t xml:space="preserve">Derated, design-month PSH (conservative)</t>
  </si>
  <si>
    <t xml:space="preserve">Battery energy required</t>
  </si>
  <si>
    <t xml:space="preserve">kWh</t>
  </si>
  <si>
    <t xml:space="preserve">Autonomy ÷ DoD ÷ efficiencies</t>
  </si>
  <si>
    <t xml:space="preserve">Battery bank capacity</t>
  </si>
  <si>
    <t xml:space="preserve">Ah</t>
  </si>
  <si>
    <t xml:space="preserve">At the system DC voltage</t>
  </si>
  <si>
    <t xml:space="preserve">Inverter continuous rating</t>
  </si>
  <si>
    <t xml:space="preserve">Peak demand + 25 % headroom</t>
  </si>
  <si>
    <t xml:space="preserve">Max modules per string</t>
  </si>
  <si>
    <t xml:space="preserve">Voc at −10 °C vs inverter max input</t>
  </si>
  <si>
    <t xml:space="preserve">Suggested string count</t>
  </si>
  <si>
    <t xml:space="preserve">Modules ÷ max per string</t>
  </si>
  <si>
    <t xml:space="preserve">Indicative capex</t>
  </si>
  <si>
    <t xml:space="preserve">USD</t>
  </si>
  <si>
    <t xml:space="preserve">Installed cost per Wp × array size</t>
  </si>
  <si>
    <t xml:space="preserve">Annual energy value</t>
  </si>
  <si>
    <t xml:space="preserve">USD/year</t>
  </si>
  <si>
    <t xml:space="preserve">Yield × tariff</t>
  </si>
  <si>
    <t xml:space="preserve">Simple payback</t>
  </si>
  <si>
    <t xml:space="preserve">years</t>
  </si>
  <si>
    <t xml:space="preserve">Capex ÷ annual value</t>
  </si>
  <si>
    <t xml:space="preserve">Check: string Voc at −10 °C must stay below the inverter maximum. Verify cable volt drop &lt; 2 % DC and &lt; 1 % AC.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</si>
</sst>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(#,##0\);\-"/>
    <numFmt numFmtId="166" formatCode="#,##0.00;\(#,##0.00\);\-"/>
    <numFmt numFmtId="167" formatCode="\$#,##0;&quot;($&quot;#,##0\);\-"/>
    <numFmt numFmtId="168" formatCode="0.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i val="true"/>
      <sz val="8"/>
      <color rgb="FF5B6376"/>
      <name val="Arial"/>
      <family val="0"/>
      <charset val="1"/>
    </font>
    <font>
      <b val="true"/>
      <sz val="11"/>
      <color rgb="FF16204A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B637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i val="true"/>
      <sz val="9"/>
      <color rgb="FF5B637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6204A"/>
        <bgColor rgb="FF333333"/>
      </patternFill>
    </fill>
    <fill>
      <patternFill patternType="solid">
        <fgColor rgb="FFFFFFFF"/>
        <bgColor rgb="FFEEF1F7"/>
      </patternFill>
    </fill>
    <fill>
      <patternFill patternType="solid">
        <fgColor rgb="FFEEF1F7"/>
        <bgColor rgb="FFFFFFFF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CE6"/>
      </left>
      <right style="thin">
        <color rgb="FFD8DCE6"/>
      </right>
      <top style="thin">
        <color rgb="FFD8DCE6"/>
      </top>
      <bottom style="thin">
        <color rgb="FFD8DC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F1F7"/>
      <rgbColor rgb="FFCCFFFF"/>
      <rgbColor rgb="FF660066"/>
      <rgbColor rgb="FFFF8080"/>
      <rgbColor rgb="FF0066CC"/>
      <rgbColor rgb="FFD8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376"/>
      <rgbColor rgb="FF969696"/>
      <rgbColor rgb="FF16204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44"/>
    <col collapsed="false" customWidth="true" hidden="false" outlineLevel="0" max="8" min="5" style="0" width="14"/>
  </cols>
  <sheetData>
    <row r="1" customFormat="false" ht="21.7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 t="s">
        <v>1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4" t="s">
        <v>2</v>
      </c>
      <c r="B3" s="5"/>
      <c r="C3" s="5"/>
      <c r="D3" s="5"/>
      <c r="E3" s="5"/>
      <c r="F3" s="5"/>
      <c r="G3" s="5"/>
      <c r="H3" s="5"/>
    </row>
    <row r="5" customFormat="false" ht="15" hidden="false" customHeight="false" outlineLevel="0" collapsed="false">
      <c r="A5" s="6" t="s">
        <v>3</v>
      </c>
      <c r="B5" s="7"/>
      <c r="C5" s="7"/>
      <c r="D5" s="7"/>
      <c r="E5" s="7"/>
      <c r="F5" s="7"/>
      <c r="G5" s="7"/>
      <c r="H5" s="7"/>
    </row>
    <row r="6" customFormat="false" ht="15" hidden="false" customHeight="false" outlineLevel="0" collapsed="false">
      <c r="A6" s="8" t="s">
        <v>4</v>
      </c>
      <c r="B6" s="9" t="s">
        <v>5</v>
      </c>
      <c r="C6" s="8"/>
      <c r="D6" s="10" t="s">
        <v>6</v>
      </c>
    </row>
    <row r="7" customFormat="false" ht="15" hidden="false" customHeight="false" outlineLevel="0" collapsed="false">
      <c r="A7" s="8" t="s">
        <v>7</v>
      </c>
      <c r="B7" s="9" t="n">
        <v>-1.29</v>
      </c>
      <c r="C7" s="8" t="s">
        <v>8</v>
      </c>
      <c r="D7" s="10" t="s">
        <v>9</v>
      </c>
    </row>
    <row r="8" customFormat="false" ht="15" hidden="false" customHeight="false" outlineLevel="0" collapsed="false">
      <c r="A8" s="8" t="s">
        <v>10</v>
      </c>
      <c r="B8" s="9" t="n">
        <v>5.4</v>
      </c>
      <c r="C8" s="8" t="s">
        <v>11</v>
      </c>
      <c r="D8" s="10" t="s">
        <v>12</v>
      </c>
    </row>
    <row r="9" customFormat="false" ht="15" hidden="false" customHeight="false" outlineLevel="0" collapsed="false">
      <c r="A9" s="8" t="s">
        <v>13</v>
      </c>
      <c r="B9" s="9" t="n">
        <v>32</v>
      </c>
      <c r="C9" s="8" t="s">
        <v>14</v>
      </c>
      <c r="D9" s="10" t="s">
        <v>15</v>
      </c>
    </row>
    <row r="10" customFormat="false" ht="15" hidden="false" customHeight="false" outlineLevel="0" collapsed="false">
      <c r="A10" s="6" t="s">
        <v>16</v>
      </c>
      <c r="B10" s="7"/>
      <c r="C10" s="7"/>
      <c r="D10" s="7"/>
      <c r="E10" s="7"/>
      <c r="F10" s="7"/>
      <c r="G10" s="7"/>
      <c r="H10" s="7"/>
    </row>
    <row r="11" customFormat="false" ht="15" hidden="false" customHeight="false" outlineLevel="0" collapsed="false">
      <c r="A11" s="8" t="s">
        <v>17</v>
      </c>
      <c r="B11" s="9" t="s">
        <v>18</v>
      </c>
      <c r="C11" s="8"/>
      <c r="D11" s="10" t="s">
        <v>19</v>
      </c>
    </row>
    <row r="12" customFormat="false" ht="15" hidden="false" customHeight="false" outlineLevel="0" collapsed="false">
      <c r="A12" s="8" t="s">
        <v>20</v>
      </c>
      <c r="B12" s="9" t="n">
        <v>48</v>
      </c>
      <c r="C12" s="8" t="s">
        <v>21</v>
      </c>
      <c r="D12" s="10" t="s">
        <v>22</v>
      </c>
    </row>
    <row r="13" customFormat="false" ht="15" hidden="false" customHeight="false" outlineLevel="0" collapsed="false">
      <c r="A13" s="8" t="s">
        <v>23</v>
      </c>
      <c r="B13" s="9" t="n">
        <v>1</v>
      </c>
      <c r="C13" s="8" t="s">
        <v>24</v>
      </c>
      <c r="D13" s="10" t="s">
        <v>25</v>
      </c>
    </row>
    <row r="14" customFormat="false" ht="15" hidden="false" customHeight="false" outlineLevel="0" collapsed="false">
      <c r="A14" s="8" t="s">
        <v>26</v>
      </c>
      <c r="B14" s="9" t="n">
        <v>0.8</v>
      </c>
      <c r="C14" s="8" t="s">
        <v>27</v>
      </c>
      <c r="D14" s="10" t="s">
        <v>28</v>
      </c>
    </row>
    <row r="15" customFormat="false" ht="15" hidden="false" customHeight="false" outlineLevel="0" collapsed="false">
      <c r="A15" s="8" t="s">
        <v>29</v>
      </c>
      <c r="B15" s="9" t="n">
        <v>0.94</v>
      </c>
      <c r="C15" s="8" t="s">
        <v>27</v>
      </c>
      <c r="D15" s="10" t="s">
        <v>30</v>
      </c>
    </row>
    <row r="16" customFormat="false" ht="15" hidden="false" customHeight="false" outlineLevel="0" collapsed="false">
      <c r="A16" s="8" t="s">
        <v>31</v>
      </c>
      <c r="B16" s="9" t="n">
        <v>0.96</v>
      </c>
      <c r="C16" s="8" t="s">
        <v>27</v>
      </c>
      <c r="D16" s="10" t="s">
        <v>32</v>
      </c>
    </row>
    <row r="17" customFormat="false" ht="15" hidden="false" customHeight="false" outlineLevel="0" collapsed="false">
      <c r="A17" s="6" t="s">
        <v>33</v>
      </c>
      <c r="B17" s="7"/>
      <c r="C17" s="7"/>
      <c r="D17" s="7"/>
      <c r="E17" s="7"/>
      <c r="F17" s="7"/>
      <c r="G17" s="7"/>
      <c r="H17" s="7"/>
    </row>
    <row r="18" customFormat="false" ht="15" hidden="false" customHeight="false" outlineLevel="0" collapsed="false">
      <c r="A18" s="8" t="s">
        <v>34</v>
      </c>
      <c r="B18" s="9" t="n">
        <v>0.03</v>
      </c>
      <c r="C18" s="8" t="s">
        <v>27</v>
      </c>
      <c r="D18" s="10" t="s">
        <v>35</v>
      </c>
    </row>
    <row r="19" customFormat="false" ht="15" hidden="false" customHeight="false" outlineLevel="0" collapsed="false">
      <c r="A19" s="8" t="s">
        <v>36</v>
      </c>
      <c r="B19" s="9" t="n">
        <v>0.08</v>
      </c>
      <c r="C19" s="8" t="s">
        <v>27</v>
      </c>
      <c r="D19" s="10" t="s">
        <v>37</v>
      </c>
    </row>
    <row r="20" customFormat="false" ht="15" hidden="false" customHeight="false" outlineLevel="0" collapsed="false">
      <c r="A20" s="8" t="s">
        <v>38</v>
      </c>
      <c r="B20" s="9" t="n">
        <v>0.03</v>
      </c>
      <c r="C20" s="8" t="s">
        <v>27</v>
      </c>
      <c r="D20" s="10" t="s">
        <v>39</v>
      </c>
    </row>
    <row r="21" customFormat="false" ht="15" hidden="false" customHeight="false" outlineLevel="0" collapsed="false">
      <c r="A21" s="8" t="s">
        <v>40</v>
      </c>
      <c r="B21" s="9" t="n">
        <v>0.04</v>
      </c>
      <c r="C21" s="8" t="s">
        <v>27</v>
      </c>
      <c r="D21" s="10" t="s">
        <v>41</v>
      </c>
    </row>
    <row r="22" customFormat="false" ht="15" hidden="false" customHeight="false" outlineLevel="0" collapsed="false">
      <c r="A22" s="6" t="s">
        <v>42</v>
      </c>
      <c r="B22" s="7"/>
      <c r="C22" s="7"/>
      <c r="D22" s="7"/>
      <c r="E22" s="7"/>
      <c r="F22" s="7"/>
      <c r="G22" s="7"/>
      <c r="H22" s="7"/>
    </row>
    <row r="23" customFormat="false" ht="15" hidden="false" customHeight="false" outlineLevel="0" collapsed="false">
      <c r="A23" s="8" t="s">
        <v>43</v>
      </c>
      <c r="B23" s="9" t="n">
        <v>550</v>
      </c>
      <c r="C23" s="8" t="s">
        <v>44</v>
      </c>
      <c r="D23" s="10" t="s">
        <v>45</v>
      </c>
    </row>
    <row r="24" customFormat="false" ht="15" hidden="false" customHeight="false" outlineLevel="0" collapsed="false">
      <c r="A24" s="8" t="s">
        <v>46</v>
      </c>
      <c r="B24" s="9" t="n">
        <v>49.8</v>
      </c>
      <c r="C24" s="8" t="s">
        <v>21</v>
      </c>
      <c r="D24" s="10" t="s">
        <v>47</v>
      </c>
    </row>
    <row r="25" customFormat="false" ht="15" hidden="false" customHeight="false" outlineLevel="0" collapsed="false">
      <c r="A25" s="8" t="s">
        <v>48</v>
      </c>
      <c r="B25" s="9" t="n">
        <v>41.8</v>
      </c>
      <c r="C25" s="8" t="s">
        <v>21</v>
      </c>
      <c r="D25" s="10"/>
    </row>
    <row r="26" customFormat="false" ht="15" hidden="false" customHeight="false" outlineLevel="0" collapsed="false">
      <c r="A26" s="8" t="s">
        <v>49</v>
      </c>
      <c r="B26" s="9" t="n">
        <v>-0.0027</v>
      </c>
      <c r="C26" s="8" t="s">
        <v>50</v>
      </c>
      <c r="D26" s="10" t="s">
        <v>51</v>
      </c>
    </row>
    <row r="27" customFormat="false" ht="15" hidden="false" customHeight="false" outlineLevel="0" collapsed="false">
      <c r="A27" s="8" t="s">
        <v>52</v>
      </c>
      <c r="B27" s="9" t="n">
        <v>500</v>
      </c>
      <c r="C27" s="8" t="s">
        <v>21</v>
      </c>
      <c r="D27" s="10" t="s">
        <v>53</v>
      </c>
    </row>
    <row r="28" customFormat="false" ht="15" hidden="false" customHeight="false" outlineLevel="0" collapsed="false">
      <c r="A28" s="8" t="s">
        <v>54</v>
      </c>
      <c r="B28" s="9" t="n">
        <v>0.85</v>
      </c>
      <c r="C28" s="8" t="s">
        <v>55</v>
      </c>
      <c r="D28" s="10" t="s">
        <v>56</v>
      </c>
    </row>
    <row r="29" customFormat="false" ht="15" hidden="false" customHeight="false" outlineLevel="0" collapsed="false">
      <c r="A29" s="8" t="s">
        <v>57</v>
      </c>
      <c r="B29" s="9" t="n">
        <v>0.19</v>
      </c>
      <c r="C29" s="8" t="s">
        <v>58</v>
      </c>
      <c r="D29" s="10" t="s">
        <v>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2"/>
    <col collapsed="false" customWidth="true" hidden="false" outlineLevel="0" max="4" min="4" style="0" width="14"/>
    <col collapsed="false" customWidth="true" hidden="false" outlineLevel="0" max="6" min="5" style="0" width="16"/>
    <col collapsed="false" customWidth="true" hidden="false" outlineLevel="0" max="7" min="7" style="0" width="14"/>
  </cols>
  <sheetData>
    <row r="1" customFormat="false" ht="21.75" hidden="false" customHeight="true" outlineLevel="0" collapsed="false">
      <c r="A1" s="1" t="s">
        <v>60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 t="s">
        <v>61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4" t="s">
        <v>2</v>
      </c>
      <c r="B3" s="5"/>
      <c r="C3" s="5"/>
      <c r="D3" s="5"/>
      <c r="E3" s="5"/>
      <c r="F3" s="5"/>
      <c r="G3" s="5"/>
      <c r="H3" s="5"/>
    </row>
    <row r="5" customFormat="false" ht="15" hidden="false" customHeight="false" outlineLevel="0" collapsed="false">
      <c r="A5" s="11" t="s">
        <v>62</v>
      </c>
      <c r="B5" s="11" t="s">
        <v>63</v>
      </c>
      <c r="C5" s="11" t="s">
        <v>64</v>
      </c>
      <c r="D5" s="11" t="s">
        <v>65</v>
      </c>
      <c r="E5" s="11" t="s">
        <v>66</v>
      </c>
      <c r="F5" s="11" t="s">
        <v>67</v>
      </c>
      <c r="G5" s="11" t="s">
        <v>68</v>
      </c>
    </row>
    <row r="6" customFormat="false" ht="15" hidden="false" customHeight="false" outlineLevel="0" collapsed="false">
      <c r="A6" s="8" t="s">
        <v>69</v>
      </c>
      <c r="B6" s="12" t="n">
        <v>40</v>
      </c>
      <c r="C6" s="12" t="n">
        <v>18</v>
      </c>
      <c r="D6" s="12" t="n">
        <v>12</v>
      </c>
      <c r="E6" s="12" t="n">
        <v>1</v>
      </c>
      <c r="F6" s="13" t="n">
        <f aca="false">B6*C6*D6*E6</f>
        <v>8640</v>
      </c>
      <c r="G6" s="14" t="s">
        <v>70</v>
      </c>
    </row>
    <row r="7" customFormat="false" ht="15" hidden="false" customHeight="false" outlineLevel="0" collapsed="false">
      <c r="A7" s="8" t="s">
        <v>71</v>
      </c>
      <c r="B7" s="12" t="n">
        <v>12</v>
      </c>
      <c r="C7" s="12" t="n">
        <v>120</v>
      </c>
      <c r="D7" s="12" t="n">
        <v>9</v>
      </c>
      <c r="E7" s="12" t="n">
        <v>0.8</v>
      </c>
      <c r="F7" s="13" t="n">
        <f aca="false">B7*C7*D7*E7</f>
        <v>10368</v>
      </c>
      <c r="G7" s="14" t="s">
        <v>70</v>
      </c>
    </row>
    <row r="8" customFormat="false" ht="15" hidden="false" customHeight="false" outlineLevel="0" collapsed="false">
      <c r="A8" s="8" t="s">
        <v>72</v>
      </c>
      <c r="B8" s="12" t="n">
        <v>1</v>
      </c>
      <c r="C8" s="12" t="n">
        <v>1500</v>
      </c>
      <c r="D8" s="12" t="n">
        <v>3</v>
      </c>
      <c r="E8" s="12" t="n">
        <v>1</v>
      </c>
      <c r="F8" s="13" t="n">
        <f aca="false">B8*C8*D8*E8</f>
        <v>4500</v>
      </c>
      <c r="G8" s="14" t="s">
        <v>70</v>
      </c>
    </row>
    <row r="9" customFormat="false" ht="15" hidden="false" customHeight="false" outlineLevel="0" collapsed="false">
      <c r="A9" s="8" t="s">
        <v>73</v>
      </c>
      <c r="B9" s="12" t="n">
        <v>1</v>
      </c>
      <c r="C9" s="12" t="n">
        <v>2200</v>
      </c>
      <c r="D9" s="12" t="n">
        <v>10</v>
      </c>
      <c r="E9" s="12" t="n">
        <v>0.6</v>
      </c>
      <c r="F9" s="13" t="n">
        <f aca="false">B9*C9*D9*E9</f>
        <v>13200</v>
      </c>
      <c r="G9" s="14" t="s">
        <v>70</v>
      </c>
    </row>
    <row r="10" customFormat="false" ht="15" hidden="false" customHeight="false" outlineLevel="0" collapsed="false">
      <c r="A10" s="8" t="s">
        <v>74</v>
      </c>
      <c r="B10" s="12" t="n">
        <v>1</v>
      </c>
      <c r="C10" s="12" t="n">
        <v>3000</v>
      </c>
      <c r="D10" s="12" t="n">
        <v>4</v>
      </c>
      <c r="E10" s="12" t="n">
        <v>0.35</v>
      </c>
      <c r="F10" s="13" t="n">
        <f aca="false">B10*C10*D10*E10</f>
        <v>4200</v>
      </c>
      <c r="G10" s="14" t="s">
        <v>70</v>
      </c>
    </row>
    <row r="11" customFormat="false" ht="15" hidden="false" customHeight="false" outlineLevel="0" collapsed="false">
      <c r="A11" s="8" t="s">
        <v>75</v>
      </c>
      <c r="B11" s="12" t="n">
        <v>1</v>
      </c>
      <c r="C11" s="12" t="n">
        <v>250</v>
      </c>
      <c r="D11" s="12" t="n">
        <v>24</v>
      </c>
      <c r="E11" s="12" t="n">
        <v>1</v>
      </c>
      <c r="F11" s="13" t="n">
        <f aca="false">B11*C11*D11*E11</f>
        <v>6000</v>
      </c>
      <c r="G11" s="14" t="s">
        <v>76</v>
      </c>
    </row>
    <row r="12" customFormat="false" ht="15" hidden="false" customHeight="false" outlineLevel="0" collapsed="false">
      <c r="A12" s="8" t="s">
        <v>77</v>
      </c>
      <c r="B12" s="12" t="n">
        <v>1</v>
      </c>
      <c r="C12" s="12" t="n">
        <v>180</v>
      </c>
      <c r="D12" s="12" t="n">
        <v>24</v>
      </c>
      <c r="E12" s="12" t="n">
        <v>1</v>
      </c>
      <c r="F12" s="13" t="n">
        <f aca="false">B12*C12*D12*E12</f>
        <v>4320</v>
      </c>
      <c r="G12" s="14" t="s">
        <v>76</v>
      </c>
    </row>
    <row r="13" customFormat="false" ht="15" hidden="false" customHeight="false" outlineLevel="0" collapsed="false">
      <c r="A13" s="8" t="s">
        <v>78</v>
      </c>
      <c r="B13" s="12" t="n">
        <v>1</v>
      </c>
      <c r="C13" s="12" t="n">
        <v>0</v>
      </c>
      <c r="D13" s="12" t="n">
        <v>0</v>
      </c>
      <c r="E13" s="12" t="n">
        <v>1</v>
      </c>
      <c r="F13" s="13" t="n">
        <f aca="false">B13*C13*D13*E13</f>
        <v>0</v>
      </c>
      <c r="G13" s="14" t="s">
        <v>70</v>
      </c>
    </row>
    <row r="14" customFormat="false" ht="15" hidden="false" customHeight="false" outlineLevel="0" collapsed="false">
      <c r="A14" s="15" t="s">
        <v>79</v>
      </c>
      <c r="F14" s="16" t="n">
        <f aca="false">SUM(F6:F13)</f>
        <v>51228</v>
      </c>
    </row>
    <row r="15" customFormat="false" ht="15" hidden="false" customHeight="false" outlineLevel="0" collapsed="false">
      <c r="A15" s="8" t="s">
        <v>80</v>
      </c>
      <c r="F15" s="13" t="n">
        <f aca="false">SUMPRODUCT(B6:B13,C6:C13,E6:E13)</f>
        <v>6172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  <col collapsed="false" customWidth="true" hidden="false" outlineLevel="0" max="3" min="3" style="0" width="12"/>
    <col collapsed="false" customWidth="true" hidden="false" outlineLevel="0" max="4" min="4" style="0" width="48"/>
  </cols>
  <sheetData>
    <row r="1" customFormat="false" ht="21.75" hidden="false" customHeight="true" outlineLevel="0" collapsed="false">
      <c r="A1" s="1" t="s">
        <v>81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 t="s">
        <v>82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4" t="s">
        <v>2</v>
      </c>
      <c r="B3" s="5"/>
      <c r="C3" s="5"/>
      <c r="D3" s="5"/>
      <c r="E3" s="5"/>
      <c r="F3" s="5"/>
      <c r="G3" s="5"/>
      <c r="H3" s="5"/>
    </row>
    <row r="5" customFormat="false" ht="15" hidden="false" customHeight="false" outlineLevel="0" collapsed="false">
      <c r="A5" s="11" t="s">
        <v>83</v>
      </c>
      <c r="B5" s="11" t="s">
        <v>84</v>
      </c>
      <c r="C5" s="11" t="s">
        <v>85</v>
      </c>
      <c r="D5" s="11" t="s">
        <v>86</v>
      </c>
    </row>
    <row r="6" customFormat="false" ht="15" hidden="false" customHeight="false" outlineLevel="0" collapsed="false">
      <c r="A6" s="8" t="s">
        <v>87</v>
      </c>
      <c r="B6" s="17" t="n">
        <f aca="false">'Load profile'!$F$14/1000</f>
        <v>51.228</v>
      </c>
      <c r="C6" s="8" t="s">
        <v>88</v>
      </c>
      <c r="D6" s="10" t="s">
        <v>89</v>
      </c>
    </row>
    <row r="7" customFormat="false" ht="15" hidden="false" customHeight="false" outlineLevel="0" collapsed="false">
      <c r="A7" s="8" t="s">
        <v>90</v>
      </c>
      <c r="B7" s="17" t="n">
        <f aca="false">'Load profile'!$F$15/1000</f>
        <v>6.172</v>
      </c>
      <c r="C7" s="8" t="s">
        <v>91</v>
      </c>
      <c r="D7" s="10" t="s">
        <v>92</v>
      </c>
    </row>
    <row r="8" customFormat="false" ht="15" hidden="false" customHeight="false" outlineLevel="0" collapsed="false">
      <c r="A8" s="8" t="s">
        <v>93</v>
      </c>
      <c r="B8" s="17" t="n">
        <f aca="false">(1-Inputs!$B$18)*(1-Inputs!$B$19)*(1-Inputs!$B$20)*(1-Inputs!$B$21)</f>
        <v>0.83100288</v>
      </c>
      <c r="C8" s="8" t="s">
        <v>27</v>
      </c>
      <c r="D8" s="10" t="s">
        <v>94</v>
      </c>
    </row>
    <row r="9" customFormat="false" ht="15" hidden="false" customHeight="false" outlineLevel="0" collapsed="false">
      <c r="A9" s="8" t="s">
        <v>95</v>
      </c>
      <c r="B9" s="17" t="n">
        <f aca="false">B6/B8</f>
        <v>61.6459957395094</v>
      </c>
      <c r="C9" s="8" t="s">
        <v>88</v>
      </c>
      <c r="D9" s="10" t="s">
        <v>96</v>
      </c>
    </row>
    <row r="10" customFormat="false" ht="15" hidden="false" customHeight="false" outlineLevel="0" collapsed="false">
      <c r="A10" s="8" t="s">
        <v>97</v>
      </c>
      <c r="B10" s="17" t="n">
        <f aca="false">B9/Inputs!$B$8</f>
        <v>11.4159251369462</v>
      </c>
      <c r="C10" s="8" t="s">
        <v>98</v>
      </c>
      <c r="D10" s="10" t="s">
        <v>99</v>
      </c>
    </row>
    <row r="11" customFormat="false" ht="15" hidden="false" customHeight="false" outlineLevel="0" collapsed="false">
      <c r="A11" s="15" t="s">
        <v>100</v>
      </c>
      <c r="B11" s="18" t="n">
        <f aca="false">ROUNDUP(B10*1000/Inputs!$B$23,0)</f>
        <v>21</v>
      </c>
      <c r="C11" s="8" t="s">
        <v>101</v>
      </c>
      <c r="D11" s="10" t="s">
        <v>102</v>
      </c>
    </row>
    <row r="12" customFormat="false" ht="15" hidden="false" customHeight="false" outlineLevel="0" collapsed="false">
      <c r="A12" s="15" t="s">
        <v>103</v>
      </c>
      <c r="B12" s="19" t="n">
        <f aca="false">B11*Inputs!$B$23/1000</f>
        <v>11.55</v>
      </c>
      <c r="C12" s="8" t="s">
        <v>98</v>
      </c>
      <c r="D12" s="10" t="s">
        <v>104</v>
      </c>
    </row>
    <row r="13" customFormat="false" ht="15" hidden="false" customHeight="false" outlineLevel="0" collapsed="false">
      <c r="A13" s="8" t="s">
        <v>105</v>
      </c>
      <c r="B13" s="20" t="n">
        <f aca="false">B12*Inputs!$B$8*365*B8</f>
        <v>18917.822113344</v>
      </c>
      <c r="C13" s="8" t="s">
        <v>106</v>
      </c>
      <c r="D13" s="10" t="s">
        <v>107</v>
      </c>
    </row>
    <row r="15" customFormat="false" ht="15" hidden="false" customHeight="false" outlineLevel="0" collapsed="false">
      <c r="A15" s="8" t="s">
        <v>108</v>
      </c>
      <c r="B15" s="17" t="n">
        <f aca="false">B6/(Inputs!$B$14*Inputs!$B$15*Inputs!$B$16)*Inputs!$B$13</f>
        <v>70.9607712765958</v>
      </c>
      <c r="C15" s="8" t="s">
        <v>109</v>
      </c>
      <c r="D15" s="10" t="s">
        <v>110</v>
      </c>
    </row>
    <row r="16" customFormat="false" ht="15" hidden="false" customHeight="false" outlineLevel="0" collapsed="false">
      <c r="A16" s="15" t="s">
        <v>111</v>
      </c>
      <c r="B16" s="18" t="n">
        <f aca="false">IF(Inputs!$B$13=0,0,B15*1000/Inputs!$B$12)</f>
        <v>1478.34940159575</v>
      </c>
      <c r="C16" s="8" t="s">
        <v>112</v>
      </c>
      <c r="D16" s="10" t="s">
        <v>113</v>
      </c>
    </row>
    <row r="18" customFormat="false" ht="15" hidden="false" customHeight="false" outlineLevel="0" collapsed="false">
      <c r="A18" s="8" t="s">
        <v>114</v>
      </c>
      <c r="B18" s="17" t="n">
        <f aca="false">B7*1.25</f>
        <v>7.715</v>
      </c>
      <c r="C18" s="8" t="s">
        <v>91</v>
      </c>
      <c r="D18" s="10" t="s">
        <v>115</v>
      </c>
    </row>
    <row r="19" customFormat="false" ht="15" hidden="false" customHeight="false" outlineLevel="0" collapsed="false">
      <c r="A19" s="8" t="s">
        <v>116</v>
      </c>
      <c r="B19" s="20" t="n">
        <f aca="false">ROUNDDOWN(Inputs!$B$27/(Inputs!$B$24*(1+Inputs!$B$26*(-10-25))),0)</f>
        <v>9</v>
      </c>
      <c r="C19" s="8" t="s">
        <v>101</v>
      </c>
      <c r="D19" s="10" t="s">
        <v>117</v>
      </c>
    </row>
    <row r="20" customFormat="false" ht="15" hidden="false" customHeight="false" outlineLevel="0" collapsed="false">
      <c r="A20" s="8" t="s">
        <v>118</v>
      </c>
      <c r="B20" s="20" t="n">
        <f aca="false">ROUNDUP(B11/MAX(B19,1),0)</f>
        <v>3</v>
      </c>
      <c r="C20" s="8" t="s">
        <v>101</v>
      </c>
      <c r="D20" s="10" t="s">
        <v>119</v>
      </c>
    </row>
    <row r="22" customFormat="false" ht="15" hidden="false" customHeight="false" outlineLevel="0" collapsed="false">
      <c r="A22" s="8" t="s">
        <v>120</v>
      </c>
      <c r="B22" s="21" t="n">
        <f aca="false">B12*1000*Inputs!$B$28</f>
        <v>9817.5</v>
      </c>
      <c r="C22" s="8" t="s">
        <v>121</v>
      </c>
      <c r="D22" s="10" t="s">
        <v>122</v>
      </c>
    </row>
    <row r="23" customFormat="false" ht="15" hidden="false" customHeight="false" outlineLevel="0" collapsed="false">
      <c r="A23" s="8" t="s">
        <v>123</v>
      </c>
      <c r="B23" s="21" t="n">
        <f aca="false">B13*Inputs!$B$29</f>
        <v>3594.38620153536</v>
      </c>
      <c r="C23" s="8" t="s">
        <v>124</v>
      </c>
      <c r="D23" s="10" t="s">
        <v>125</v>
      </c>
    </row>
    <row r="24" customFormat="false" ht="15" hidden="false" customHeight="false" outlineLevel="0" collapsed="false">
      <c r="A24" s="15" t="s">
        <v>126</v>
      </c>
      <c r="B24" s="22" t="n">
        <f aca="false">IF(B23=0,0,B22/B23)</f>
        <v>2.73134255740421</v>
      </c>
      <c r="C24" s="8" t="s">
        <v>127</v>
      </c>
      <c r="D24" s="10" t="s">
        <v>128</v>
      </c>
    </row>
    <row r="26" customFormat="false" ht="15" hidden="false" customHeight="false" outlineLevel="0" collapsed="false">
      <c r="A26" s="23" t="s">
        <v>129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2026-07-31T17:41:39Z</dcterms:created>
  <dc:creator>openpyxl</dc:creator>
  <dc:description/>
  <dc:language>en-US</dc:language>
  <cp:lastModifiedBy/>
  <dcterms:modified xsi:type="dcterms:W3CDTF">2026-07-31T17:41:39Z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