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Facility" sheetId="1" state="visible" r:id="rId3"/>
    <sheet name="Utility data" sheetId="2" state="visible" r:id="rId4"/>
    <sheet name="End use inventory" sheetId="3" state="visible" r:id="rId5"/>
    <sheet name="ECM measures" sheetId="4" state="visible" r:id="rId6"/>
    <sheet name="Notes &amp; metho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<sst xmlns="http://schemas.openxmlformats.org/spreadsheetml/2006/main" count="122" uniqueCount="115">
  <si>
    <t xml:space="preserve">ASHRAE Level II energy audit data template</t>
  </si>
  <si>
    <t xml:space="preserve">Facility data, utility analysis, end-use inventory and ECM economics</t>
  </si>
  <si>
    <t xml:space="preserve">Bethwel Kimaru · bethwelkimaru.space · blue = your input, black = calculated</t>
  </si>
  <si>
    <t xml:space="preserve">Facility</t>
  </si>
  <si>
    <t xml:space="preserve">Facility name</t>
  </si>
  <si>
    <t xml:space="preserve">Client site</t>
  </si>
  <si>
    <t xml:space="preserve">Address / GPS</t>
  </si>
  <si>
    <t xml:space="preserve">Building type</t>
  </si>
  <si>
    <t xml:space="preserve">Manufacturing</t>
  </si>
  <si>
    <t xml:space="preserve">Manufacturing / Office / Hotel / Hospital</t>
  </si>
  <si>
    <t xml:space="preserve">Gross floor area</t>
  </si>
  <si>
    <t xml:space="preserve">m²</t>
  </si>
  <si>
    <t xml:space="preserve">Conditioned + unconditioned</t>
  </si>
  <si>
    <t xml:space="preserve">Conditioned floor area</t>
  </si>
  <si>
    <t xml:space="preserve">Year built / last major retrofit</t>
  </si>
  <si>
    <t xml:space="preserve">Operating hours per week</t>
  </si>
  <si>
    <t xml:space="preserve">h</t>
  </si>
  <si>
    <t xml:space="preserve">Include shifts and weekends</t>
  </si>
  <si>
    <t xml:space="preserve">Occupants (peak)</t>
  </si>
  <si>
    <t xml:space="preserve">no.</t>
  </si>
  <si>
    <t xml:space="preserve">Audit</t>
  </si>
  <si>
    <t xml:space="preserve">Audit level</t>
  </si>
  <si>
    <t xml:space="preserve">ASHRAE Level II</t>
  </si>
  <si>
    <t xml:space="preserve">Energy survey and engineering analysis</t>
  </si>
  <si>
    <t xml:space="preserve">Audit date</t>
  </si>
  <si>
    <t xml:space="preserve">Lead auditor</t>
  </si>
  <si>
    <t xml:space="preserve">Bethwel Kimaru</t>
  </si>
  <si>
    <t xml:space="preserve">Baseline period</t>
  </si>
  <si>
    <t xml:space="preserve">12 months</t>
  </si>
  <si>
    <t xml:space="preserve">Use 12 consecutive months of bills</t>
  </si>
  <si>
    <t xml:space="preserve">Electricity tariff</t>
  </si>
  <si>
    <t xml:space="preserve">USD/kWh</t>
  </si>
  <si>
    <t xml:space="preserve">Blended energy + demand</t>
  </si>
  <si>
    <t xml:space="preserve">Demand charge</t>
  </si>
  <si>
    <t xml:space="preserve">USD/kVA/month</t>
  </si>
  <si>
    <t xml:space="preserve">From the utility bill</t>
  </si>
  <si>
    <t xml:space="preserve">Fuel tariff (diesel/LPG)</t>
  </si>
  <si>
    <t xml:space="preserve">USD/litre</t>
  </si>
  <si>
    <t xml:space="preserve">Grid emission factor</t>
  </si>
  <si>
    <t xml:space="preserve">kgCO₂e/kWh</t>
  </si>
  <si>
    <t xml:space="preserve">National grid factor</t>
  </si>
  <si>
    <t xml:space="preserve">Utility bill analysis</t>
  </si>
  <si>
    <t xml:space="preserve">Twelve consecutive months from the meter or utility statements</t>
  </si>
  <si>
    <t xml:space="preserve">Month</t>
  </si>
  <si>
    <t xml:space="preserve">Electricity (kWh)</t>
  </si>
  <si>
    <t xml:space="preserve">Peak demand (kVA)</t>
  </si>
  <si>
    <t xml:space="preserve">Load factor</t>
  </si>
  <si>
    <t xml:space="preserve">Fuel (litres)</t>
  </si>
  <si>
    <t xml:space="preserve">Electricity cost</t>
  </si>
  <si>
    <t xml:space="preserve">Fuel cost</t>
  </si>
  <si>
    <t xml:space="preserve">Total cost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</si>
  <si>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</si>
  <si>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</si>
  <si>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</si>
  <si>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</si>
  <si>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</si>
  <si>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</si>
  <si>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</si>
  <si>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</si>
  <si>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</si>
  <si>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</si>
  <si>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</si>
  <si>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</si>
  <si>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Total</t>
  </si>
  <si>
    <t xml:space="preserve">Energy use intensity (kWh/m²/yr)</t>
  </si>
  <si>
    <t xml:space="preserve">Annual emissions (tCO₂e)</t>
  </si>
  <si>
    <t xml:space="preserve">End-use inventory</t>
  </si>
  <si>
    <t xml:space="preserve">Measured or nameplate loads with operating hours — the basis of the energy balance</t>
  </si>
  <si>
    <t xml:space="preserve">System / equipment</t>
  </si>
  <si>
    <t xml:space="preserve">Qty</t>
  </si>
  <si>
    <t xml:space="preserve">Rated kW each</t>
  </si>
  <si>
    <t xml:space="preserve">Hours/year</t>
  </si>
  <si>
    <t xml:space="preserve">Annual kWh</t>
  </si>
  <si>
    <t xml:space="preserve">% of total kWh</t>
  </si>
  <si>
    <t xml:space="preserve">Annual cost</t>
  </si>
  <si>
    <t xml:space="preserve">Compressed air</t>
  </si>
  <si>
    <t xml:space="preserve">Process motors &amp; drives</t>
  </si>
  <si>
    <t xml:space="preserve">Chillers / cold rooms</t>
  </si>
  <si>
    <t xml:space="preserve">HVAC air handling</t>
  </si>
  <si>
    <t xml:space="preserve">Lighting — interior</t>
  </si>
  <si>
    <t xml:space="preserve">Lighting — exterior</t>
  </si>
  <si>
    <t xml:space="preserve">Boiler / steam auxiliaries</t>
  </si>
  <si>
    <t xml:space="preserve">Water pumping</t>
  </si>
  <si>
    <t xml:space="preserve">IT, office &amp; small power</t>
  </si>
  <si>
    <t xml:space="preserve">Other / unaccounted</t>
  </si>
  <si>
    <t xml:space="preserve">Energy conservation measures</t>
  </si>
  <si>
    <t xml:space="preserve">Level II requires savings, cost and simple payback for each recommended measure</t>
  </si>
  <si>
    <t xml:space="preserve">Measure</t>
  </si>
  <si>
    <t xml:space="preserve">kWh saved/yr</t>
  </si>
  <si>
    <t xml:space="preserve">kW demand saved</t>
  </si>
  <si>
    <t xml:space="preserve">Fuel saved (l/yr)</t>
  </si>
  <si>
    <t xml:space="preserve">Annual saving</t>
  </si>
  <si>
    <t xml:space="preserve">Capex</t>
  </si>
  <si>
    <t xml:space="preserve">Payback (yr)</t>
  </si>
  <si>
    <t xml:space="preserve">tCO₂e avoided</t>
  </si>
  <si>
    <t xml:space="preserve">LED retrofit + occupancy sensors</t>
  </si>
  <si>
    <t xml:space="preserve">Compressed air leak survey &amp; repair</t>
  </si>
  <si>
    <t xml:space="preserve">VSDs on pumps and fans</t>
  </si>
  <si>
    <t xml:space="preserve">Power factor correction to 0.97</t>
  </si>
  <si>
    <t xml:space="preserve">Chiller setpoint &amp; sequencing optimisation</t>
  </si>
  <si>
    <t xml:space="preserve">Boiler tune-up &amp; insulation</t>
  </si>
  <si>
    <t xml:space="preserve">Rooftop solar PV (see PV calculator)</t>
  </si>
  <si>
    <t xml:space="preserve">Sub-metering &amp; energy monitoring</t>
  </si>
  <si>
    <t xml:space="preserve">Portfolio total</t>
  </si>
  <si>
    <t xml:space="preserve">Savings as % of baseline spend</t>
  </si>
  <si>
    <t xml:space="preserve">Method notes</t>
  </si>
  <si>
    <t xml:space="preserve">How to use this template</t>
  </si>
  <si>
    <t xml:space="preserve">1. Complete the Facility sheet first — tariffs and floor area drive every other calculation.</t>
  </si>
  <si>
    <t xml:space="preserve">2. Enter 12 consecutive months on Utility data, straight from the bills or the revenue meter. Do not annualise a partial year.</t>
  </si>
  <si>
    <t xml:space="preserve">3. Build the End-use inventory from nameplate data corrected by spot measurements (clamp meter, power logger, run-hour meters).</t>
  </si>
  <si>
    <t xml:space="preserve">4. Reconcile: the end-use total should land within ±10 % of metered annual kWh. Put the difference in 'Other / unaccounted' and explain it.</t>
  </si>
  <si>
    <t xml:space="preserve">5. Quantify each ECM with an engineering calculation, not a rule of thumb. State assumptions next to each measure.</t>
  </si>
  <si>
    <t xml:space="preserve">6. ASHRAE Level II also requires a breakdown of capital vs O&amp;M measures and an assessment of the measures needing a Level III analysis.</t>
  </si>
  <si>
    <t xml:space="preserve">7. Report savings and demand reduction separately — many tariffs pay more for kVA than for kWh.</t>
  </si>
  <si>
    <t xml:space="preserve">8. Blue cells are inputs, black cells are formulas, yellow highlights key assumptions to confirm with the client.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</si>
</sst>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\(#,##0\);\-"/>
    <numFmt numFmtId="166" formatCode="0.0%"/>
    <numFmt numFmtId="167" formatCode="\$#,##0;&quot;($&quot;#,##0\);\-"/>
    <numFmt numFmtId="168" formatCode="#,##0.0;\(#,##0.0\);\-"/>
    <numFmt numFmtId="169" formatCode="0.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i val="true"/>
      <sz val="8"/>
      <color rgb="FF5B6376"/>
      <name val="Arial"/>
      <family val="0"/>
      <charset val="1"/>
    </font>
    <font>
      <b val="true"/>
      <sz val="11"/>
      <color rgb="FF16204A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B637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6204A"/>
        <bgColor rgb="FF333333"/>
      </patternFill>
    </fill>
    <fill>
      <patternFill patternType="solid">
        <fgColor rgb="FFFFFFFF"/>
        <bgColor rgb="FFEEF1F7"/>
      </patternFill>
    </fill>
    <fill>
      <patternFill patternType="solid">
        <fgColor rgb="FFEEF1F7"/>
        <bgColor rgb="FFFFFFFF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CE6"/>
      </left>
      <right style="thin">
        <color rgb="FFD8DCE6"/>
      </right>
      <top style="thin">
        <color rgb="FFD8DCE6"/>
      </top>
      <bottom style="thin">
        <color rgb="FFD8DC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F1F7"/>
      <rgbColor rgb="FFCCFFFF"/>
      <rgbColor rgb="FF660066"/>
      <rgbColor rgb="FFFF8080"/>
      <rgbColor rgb="FF0066CC"/>
      <rgbColor rgb="FFD8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376"/>
      <rgbColor rgb="FF969696"/>
      <rgbColor rgb="FF16204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26"/>
    <col collapsed="false" customWidth="true" hidden="false" outlineLevel="0" max="3" min="3" style="0" width="14"/>
    <col collapsed="false" customWidth="true" hidden="false" outlineLevel="0" max="4" min="4" style="0" width="44"/>
  </cols>
  <sheetData>
    <row r="1" customFormat="false" ht="21.7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</row>
    <row r="2" customFormat="false" ht="15" hidden="false" customHeight="false" outlineLevel="0" collapsed="false">
      <c r="A2" s="3" t="s">
        <v>1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4" t="s">
        <v>2</v>
      </c>
      <c r="B3" s="5"/>
      <c r="C3" s="5"/>
      <c r="D3" s="5"/>
      <c r="E3" s="5"/>
      <c r="F3" s="5"/>
      <c r="G3" s="5"/>
      <c r="H3" s="5"/>
    </row>
    <row r="5" customFormat="false" ht="15" hidden="false" customHeight="false" outlineLevel="0" collapsed="false">
      <c r="A5" s="6" t="s">
        <v>3</v>
      </c>
      <c r="B5" s="7"/>
      <c r="C5" s="7"/>
      <c r="D5" s="7"/>
    </row>
    <row r="6" customFormat="false" ht="15" hidden="false" customHeight="false" outlineLevel="0" collapsed="false">
      <c r="A6" s="8" t="s">
        <v>4</v>
      </c>
      <c r="B6" s="9"/>
      <c r="C6" s="8"/>
      <c r="D6" s="10" t="s">
        <v>5</v>
      </c>
    </row>
    <row r="7" customFormat="false" ht="15" hidden="false" customHeight="false" outlineLevel="0" collapsed="false">
      <c r="A7" s="8" t="s">
        <v>6</v>
      </c>
      <c r="B7" s="9"/>
      <c r="C7" s="8"/>
      <c r="D7" s="10"/>
    </row>
    <row r="8" customFormat="false" ht="15" hidden="false" customHeight="false" outlineLevel="0" collapsed="false">
      <c r="A8" s="8" t="s">
        <v>7</v>
      </c>
      <c r="B8" s="9" t="s">
        <v>8</v>
      </c>
      <c r="C8" s="8"/>
      <c r="D8" s="10" t="s">
        <v>9</v>
      </c>
    </row>
    <row r="9" customFormat="false" ht="15" hidden="false" customHeight="false" outlineLevel="0" collapsed="false">
      <c r="A9" s="8" t="s">
        <v>10</v>
      </c>
      <c r="B9" s="9" t="n">
        <v>4500</v>
      </c>
      <c r="C9" s="8" t="s">
        <v>11</v>
      </c>
      <c r="D9" s="10" t="s">
        <v>12</v>
      </c>
    </row>
    <row r="10" customFormat="false" ht="15" hidden="false" customHeight="false" outlineLevel="0" collapsed="false">
      <c r="A10" s="8" t="s">
        <v>13</v>
      </c>
      <c r="B10" s="9" t="n">
        <v>3100</v>
      </c>
      <c r="C10" s="8" t="s">
        <v>11</v>
      </c>
      <c r="D10" s="10"/>
    </row>
    <row r="11" customFormat="false" ht="15" hidden="false" customHeight="false" outlineLevel="0" collapsed="false">
      <c r="A11" s="8" t="s">
        <v>14</v>
      </c>
      <c r="B11" s="9" t="n">
        <v>2012</v>
      </c>
      <c r="C11" s="8"/>
      <c r="D11" s="10"/>
    </row>
    <row r="12" customFormat="false" ht="15" hidden="false" customHeight="false" outlineLevel="0" collapsed="false">
      <c r="A12" s="8" t="s">
        <v>15</v>
      </c>
      <c r="B12" s="9" t="n">
        <v>120</v>
      </c>
      <c r="C12" s="8" t="s">
        <v>16</v>
      </c>
      <c r="D12" s="10" t="s">
        <v>17</v>
      </c>
    </row>
    <row r="13" customFormat="false" ht="15" hidden="false" customHeight="false" outlineLevel="0" collapsed="false">
      <c r="A13" s="8" t="s">
        <v>18</v>
      </c>
      <c r="B13" s="9" t="n">
        <v>180</v>
      </c>
      <c r="C13" s="8" t="s">
        <v>19</v>
      </c>
      <c r="D13" s="10"/>
    </row>
    <row r="14" customFormat="false" ht="15" hidden="false" customHeight="false" outlineLevel="0" collapsed="false">
      <c r="A14" s="6" t="s">
        <v>20</v>
      </c>
      <c r="B14" s="7"/>
      <c r="C14" s="7"/>
      <c r="D14" s="7"/>
    </row>
    <row r="15" customFormat="false" ht="15" hidden="false" customHeight="false" outlineLevel="0" collapsed="false">
      <c r="A15" s="8" t="s">
        <v>21</v>
      </c>
      <c r="B15" s="9" t="s">
        <v>22</v>
      </c>
      <c r="C15" s="8"/>
      <c r="D15" s="10" t="s">
        <v>23</v>
      </c>
    </row>
    <row r="16" customFormat="false" ht="15" hidden="false" customHeight="false" outlineLevel="0" collapsed="false">
      <c r="A16" s="8" t="s">
        <v>24</v>
      </c>
      <c r="B16" s="9"/>
      <c r="C16" s="8"/>
      <c r="D16" s="10"/>
    </row>
    <row r="17" customFormat="false" ht="15" hidden="false" customHeight="false" outlineLevel="0" collapsed="false">
      <c r="A17" s="8" t="s">
        <v>25</v>
      </c>
      <c r="B17" s="9" t="s">
        <v>26</v>
      </c>
      <c r="C17" s="8"/>
      <c r="D17" s="10"/>
    </row>
    <row r="18" customFormat="false" ht="15" hidden="false" customHeight="false" outlineLevel="0" collapsed="false">
      <c r="A18" s="8" t="s">
        <v>27</v>
      </c>
      <c r="B18" s="9" t="s">
        <v>28</v>
      </c>
      <c r="C18" s="8"/>
      <c r="D18" s="10" t="s">
        <v>29</v>
      </c>
    </row>
    <row r="19" customFormat="false" ht="15" hidden="false" customHeight="false" outlineLevel="0" collapsed="false">
      <c r="A19" s="8" t="s">
        <v>30</v>
      </c>
      <c r="B19" s="9" t="n">
        <v>0.19</v>
      </c>
      <c r="C19" s="8" t="s">
        <v>31</v>
      </c>
      <c r="D19" s="10" t="s">
        <v>32</v>
      </c>
    </row>
    <row r="20" customFormat="false" ht="15" hidden="false" customHeight="false" outlineLevel="0" collapsed="false">
      <c r="A20" s="8" t="s">
        <v>33</v>
      </c>
      <c r="B20" s="9" t="n">
        <v>12</v>
      </c>
      <c r="C20" s="8" t="s">
        <v>34</v>
      </c>
      <c r="D20" s="10" t="s">
        <v>35</v>
      </c>
    </row>
    <row r="21" customFormat="false" ht="15" hidden="false" customHeight="false" outlineLevel="0" collapsed="false">
      <c r="A21" s="8" t="s">
        <v>36</v>
      </c>
      <c r="B21" s="9" t="n">
        <v>1.15</v>
      </c>
      <c r="C21" s="8" t="s">
        <v>37</v>
      </c>
      <c r="D21" s="10"/>
    </row>
    <row r="22" customFormat="false" ht="15" hidden="false" customHeight="false" outlineLevel="0" collapsed="false">
      <c r="A22" s="8" t="s">
        <v>38</v>
      </c>
      <c r="B22" s="9" t="n">
        <v>0.28</v>
      </c>
      <c r="C22" s="8" t="s">
        <v>39</v>
      </c>
      <c r="D22" s="10" t="s">
        <v>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14"/>
    <col collapsed="false" customWidth="true" hidden="false" outlineLevel="0" max="3" min="2" style="0" width="16"/>
    <col collapsed="false" customWidth="true" hidden="false" outlineLevel="0" max="4" min="4" style="0" width="14"/>
    <col collapsed="false" customWidth="true" hidden="false" outlineLevel="0" max="8" min="5" style="0" width="16"/>
  </cols>
  <sheetData>
    <row r="1" customFormat="false" ht="21.75" hidden="false" customHeight="true" outlineLevel="0" collapsed="false">
      <c r="A1" s="1" t="s">
        <v>41</v>
      </c>
      <c r="B1" s="2"/>
      <c r="C1" s="2"/>
      <c r="D1" s="2"/>
      <c r="E1" s="2"/>
      <c r="F1" s="2"/>
      <c r="G1" s="2"/>
      <c r="H1" s="2"/>
    </row>
    <row r="2" customFormat="false" ht="15" hidden="false" customHeight="false" outlineLevel="0" collapsed="false">
      <c r="A2" s="3" t="s">
        <v>42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4" t="s">
        <v>2</v>
      </c>
      <c r="B3" s="5"/>
      <c r="C3" s="5"/>
      <c r="D3" s="5"/>
      <c r="E3" s="5"/>
      <c r="F3" s="5"/>
      <c r="G3" s="5"/>
      <c r="H3" s="5"/>
    </row>
    <row r="5" customFormat="false" ht="15" hidden="false" customHeight="false" outlineLevel="0" collapsed="false">
      <c r="A5" s="11" t="s">
        <v>43</v>
      </c>
      <c r="B5" s="11" t="s">
        <v>44</v>
      </c>
      <c r="C5" s="11" t="s">
        <v>45</v>
      </c>
      <c r="D5" s="11" t="s">
        <v>46</v>
      </c>
      <c r="E5" s="11" t="s">
        <v>47</v>
      </c>
      <c r="F5" s="11" t="s">
        <v>48</v>
      </c>
      <c r="G5" s="11" t="s">
        <v>49</v>
      </c>
      <c r="H5" s="11" t="s">
        <v>50</v>
      </c>
    </row>
    <row r="6" customFormat="false" ht="15" hidden="false" customHeight="false" outlineLevel="0" collapsed="false">
      <c r="A6" s="8" t="s">
        <v>51</v>
      </c>
      <c r="B6" s="12" t="n">
        <v>0</v>
      </c>
      <c r="C6" s="12" t="n">
        <v>0</v>
      </c>
      <c r="D6" s="13" t="n">
        <f aca="false">IF(C6=0,0,B6/(C6*24*30))</f>
        <v>0</v>
      </c>
      <c r="E6" s="12" t="n">
        <v>0</v>
      </c>
      <c r="F6" s="14" t="n">
        <f aca="false">B6*Facility!$B$19+C6*Facility!$B$20</f>
        <v>0</v>
      </c>
      <c r="G6" s="14" t="n">
        <f aca="false">E6*Facility!$B$21</f>
        <v>0</v>
      </c>
      <c r="H6" s="14" t="n">
        <f aca="false">F6+G6</f>
        <v>0</v>
      </c>
    </row>
    <row r="7" customFormat="false" ht="15" hidden="false" customHeight="false" outlineLevel="0" collapsed="false">
      <c r="A7" s="8" t="s">
        <v>52</v>
      </c>
      <c r="B7" s="12" t="n">
        <v>0</v>
      </c>
      <c r="C7" s="12" t="n">
        <v>0</v>
      </c>
      <c r="D7" s="13" t="n">
        <f aca="false">IF(C7=0,0,B7/(C7*24*30))</f>
        <v>0</v>
      </c>
      <c r="E7" s="12" t="n">
        <v>0</v>
      </c>
      <c r="F7" s="14" t="n">
        <f aca="false">B7*Facility!$B$19+C7*Facility!$B$20</f>
        <v>0</v>
      </c>
      <c r="G7" s="14" t="n">
        <f aca="false">E7*Facility!$B$21</f>
        <v>0</v>
      </c>
      <c r="H7" s="14" t="n">
        <f aca="false">F7+G7</f>
        <v>0</v>
      </c>
    </row>
    <row r="8" customFormat="false" ht="15" hidden="false" customHeight="false" outlineLevel="0" collapsed="false">
      <c r="A8" s="8" t="s">
        <v>53</v>
      </c>
      <c r="B8" s="12" t="n">
        <v>0</v>
      </c>
      <c r="C8" s="12" t="n">
        <v>0</v>
      </c>
      <c r="D8" s="13" t="n">
        <f aca="false">IF(C8=0,0,B8/(C8*24*30))</f>
        <v>0</v>
      </c>
      <c r="E8" s="12" t="n">
        <v>0</v>
      </c>
      <c r="F8" s="14" t="n">
        <f aca="false">B8*Facility!$B$19+C8*Facility!$B$20</f>
        <v>0</v>
      </c>
      <c r="G8" s="14" t="n">
        <f aca="false">E8*Facility!$B$21</f>
        <v>0</v>
      </c>
      <c r="H8" s="14" t="n">
        <f aca="false">F8+G8</f>
        <v>0</v>
      </c>
    </row>
    <row r="9" customFormat="false" ht="15" hidden="false" customHeight="false" outlineLevel="0" collapsed="false">
      <c r="A9" s="8" t="s">
        <v>54</v>
      </c>
      <c r="B9" s="12" t="n">
        <v>0</v>
      </c>
      <c r="C9" s="12" t="n">
        <v>0</v>
      </c>
      <c r="D9" s="13" t="n">
        <f aca="false">IF(C9=0,0,B9/(C9*24*30))</f>
        <v>0</v>
      </c>
      <c r="E9" s="12" t="n">
        <v>0</v>
      </c>
      <c r="F9" s="14" t="n">
        <f aca="false">B9*Facility!$B$19+C9*Facility!$B$20</f>
        <v>0</v>
      </c>
      <c r="G9" s="14" t="n">
        <f aca="false">E9*Facility!$B$21</f>
        <v>0</v>
      </c>
      <c r="H9" s="14" t="n">
        <f aca="false">F9+G9</f>
        <v>0</v>
      </c>
    </row>
    <row r="10" customFormat="false" ht="15" hidden="false" customHeight="false" outlineLevel="0" collapsed="false">
      <c r="A10" s="8" t="s">
        <v>55</v>
      </c>
      <c r="B10" s="12" t="n">
        <v>0</v>
      </c>
      <c r="C10" s="12" t="n">
        <v>0</v>
      </c>
      <c r="D10" s="13" t="n">
        <f aca="false">IF(C10=0,0,B10/(C10*24*30))</f>
        <v>0</v>
      </c>
      <c r="E10" s="12" t="n">
        <v>0</v>
      </c>
      <c r="F10" s="14" t="n">
        <f aca="false">B10*Facility!$B$19+C10*Facility!$B$20</f>
        <v>0</v>
      </c>
      <c r="G10" s="14" t="n">
        <f aca="false">E10*Facility!$B$21</f>
        <v>0</v>
      </c>
      <c r="H10" s="14" t="n">
        <f aca="false">F10+G10</f>
        <v>0</v>
      </c>
    </row>
    <row r="11" customFormat="false" ht="15" hidden="false" customHeight="false" outlineLevel="0" collapsed="false">
      <c r="A11" s="8" t="s">
        <v>56</v>
      </c>
      <c r="B11" s="12" t="n">
        <v>0</v>
      </c>
      <c r="C11" s="12" t="n">
        <v>0</v>
      </c>
      <c r="D11" s="13" t="n">
        <f aca="false">IF(C11=0,0,B11/(C11*24*30))</f>
        <v>0</v>
      </c>
      <c r="E11" s="12" t="n">
        <v>0</v>
      </c>
      <c r="F11" s="14" t="n">
        <f aca="false">B11*Facility!$B$19+C11*Facility!$B$20</f>
        <v>0</v>
      </c>
      <c r="G11" s="14" t="n">
        <f aca="false">E11*Facility!$B$21</f>
        <v>0</v>
      </c>
      <c r="H11" s="14" t="n">
        <f aca="false">F11+G11</f>
        <v>0</v>
      </c>
    </row>
    <row r="12" customFormat="false" ht="15" hidden="false" customHeight="false" outlineLevel="0" collapsed="false">
      <c r="A12" s="8" t="s">
        <v>57</v>
      </c>
      <c r="B12" s="12" t="n">
        <v>0</v>
      </c>
      <c r="C12" s="12" t="n">
        <v>0</v>
      </c>
      <c r="D12" s="13" t="n">
        <f aca="false">IF(C12=0,0,B12/(C12*24*30))</f>
        <v>0</v>
      </c>
      <c r="E12" s="12" t="n">
        <v>0</v>
      </c>
      <c r="F12" s="14" t="n">
        <f aca="false">B12*Facility!$B$19+C12*Facility!$B$20</f>
        <v>0</v>
      </c>
      <c r="G12" s="14" t="n">
        <f aca="false">E12*Facility!$B$21</f>
        <v>0</v>
      </c>
      <c r="H12" s="14" t="n">
        <f aca="false">F12+G12</f>
        <v>0</v>
      </c>
    </row>
    <row r="13" customFormat="false" ht="15" hidden="false" customHeight="false" outlineLevel="0" collapsed="false">
      <c r="A13" s="8" t="s">
        <v>58</v>
      </c>
      <c r="B13" s="12" t="n">
        <v>0</v>
      </c>
      <c r="C13" s="12" t="n">
        <v>0</v>
      </c>
      <c r="D13" s="13" t="n">
        <f aca="false">IF(C13=0,0,B13/(C13*24*30))</f>
        <v>0</v>
      </c>
      <c r="E13" s="12" t="n">
        <v>0</v>
      </c>
      <c r="F13" s="14" t="n">
        <f aca="false">B13*Facility!$B$19+C13*Facility!$B$20</f>
        <v>0</v>
      </c>
      <c r="G13" s="14" t="n">
        <f aca="false">E13*Facility!$B$21</f>
        <v>0</v>
      </c>
      <c r="H13" s="14" t="n">
        <f aca="false">F13+G13</f>
        <v>0</v>
      </c>
    </row>
    <row r="14" customFormat="false" ht="15" hidden="false" customHeight="false" outlineLevel="0" collapsed="false">
      <c r="A14" s="8" t="s">
        <v>59</v>
      </c>
      <c r="B14" s="12" t="n">
        <v>0</v>
      </c>
      <c r="C14" s="12" t="n">
        <v>0</v>
      </c>
      <c r="D14" s="13" t="n">
        <f aca="false">IF(C14=0,0,B14/(C14*24*30))</f>
        <v>0</v>
      </c>
      <c r="E14" s="12" t="n">
        <v>0</v>
      </c>
      <c r="F14" s="14" t="n">
        <f aca="false">B14*Facility!$B$19+C14*Facility!$B$20</f>
        <v>0</v>
      </c>
      <c r="G14" s="14" t="n">
        <f aca="false">E14*Facility!$B$21</f>
        <v>0</v>
      </c>
      <c r="H14" s="14" t="n">
        <f aca="false">F14+G14</f>
        <v>0</v>
      </c>
    </row>
    <row r="15" customFormat="false" ht="15" hidden="false" customHeight="false" outlineLevel="0" collapsed="false">
      <c r="A15" s="8" t="s">
        <v>60</v>
      </c>
      <c r="B15" s="12" t="n">
        <v>0</v>
      </c>
      <c r="C15" s="12" t="n">
        <v>0</v>
      </c>
      <c r="D15" s="13" t="n">
        <f aca="false">IF(C15=0,0,B15/(C15*24*30))</f>
        <v>0</v>
      </c>
      <c r="E15" s="12" t="n">
        <v>0</v>
      </c>
      <c r="F15" s="14" t="n">
        <f aca="false">B15*Facility!$B$19+C15*Facility!$B$20</f>
        <v>0</v>
      </c>
      <c r="G15" s="14" t="n">
        <f aca="false">E15*Facility!$B$21</f>
        <v>0</v>
      </c>
      <c r="H15" s="14" t="n">
        <f aca="false">F15+G15</f>
        <v>0</v>
      </c>
    </row>
    <row r="16" customFormat="false" ht="15" hidden="false" customHeight="false" outlineLevel="0" collapsed="false">
      <c r="A16" s="8" t="s">
        <v>61</v>
      </c>
      <c r="B16" s="12" t="n">
        <v>0</v>
      </c>
      <c r="C16" s="12" t="n">
        <v>0</v>
      </c>
      <c r="D16" s="13" t="n">
        <f aca="false">IF(C16=0,0,B16/(C16*24*30))</f>
        <v>0</v>
      </c>
      <c r="E16" s="12" t="n">
        <v>0</v>
      </c>
      <c r="F16" s="14" t="n">
        <f aca="false">B16*Facility!$B$19+C16*Facility!$B$20</f>
        <v>0</v>
      </c>
      <c r="G16" s="14" t="n">
        <f aca="false">E16*Facility!$B$21</f>
        <v>0</v>
      </c>
      <c r="H16" s="14" t="n">
        <f aca="false">F16+G16</f>
        <v>0</v>
      </c>
    </row>
    <row r="17" customFormat="false" ht="15" hidden="false" customHeight="false" outlineLevel="0" collapsed="false">
      <c r="A17" s="8" t="s">
        <v>62</v>
      </c>
      <c r="B17" s="12" t="n">
        <v>0</v>
      </c>
      <c r="C17" s="12" t="n">
        <v>0</v>
      </c>
      <c r="D17" s="13" t="n">
        <f aca="false">IF(C17=0,0,B17/(C17*24*30))</f>
        <v>0</v>
      </c>
      <c r="E17" s="12" t="n">
        <v>0</v>
      </c>
      <c r="F17" s="14" t="n">
        <f aca="false">B17*Facility!$B$19+C17*Facility!$B$20</f>
        <v>0</v>
      </c>
      <c r="G17" s="14" t="n">
        <f aca="false">E17*Facility!$B$21</f>
        <v>0</v>
      </c>
      <c r="H17" s="14" t="n">
        <f aca="false">F17+G17</f>
        <v>0</v>
      </c>
    </row>
    <row r="18" customFormat="false" ht="15" hidden="false" customHeight="false" outlineLevel="0" collapsed="false">
      <c r="A18" s="15" t="s">
        <v>63</v>
      </c>
      <c r="B18" s="16" t="n">
        <f aca="false">SUM(B6:B17)</f>
        <v>0</v>
      </c>
      <c r="C18" s="16" t="n">
        <f aca="false">MAX(C6:C17)</f>
        <v>0</v>
      </c>
      <c r="E18" s="16" t="n">
        <f aca="false">SUM(E6:E17)</f>
        <v>0</v>
      </c>
      <c r="F18" s="17" t="n">
        <f aca="false">SUM(F6:F17)</f>
        <v>0</v>
      </c>
      <c r="G18" s="17" t="n">
        <f aca="false">SUM(G6:G17)</f>
        <v>0</v>
      </c>
      <c r="H18" s="17" t="n">
        <f aca="false">SUM(H6:H17)</f>
        <v>0</v>
      </c>
    </row>
    <row r="20" customFormat="false" ht="15" hidden="false" customHeight="false" outlineLevel="0" collapsed="false">
      <c r="A20" s="8" t="s">
        <v>64</v>
      </c>
      <c r="B20" s="18" t="e">
        <f aca="false">IF(Facility!$B$8=0,0,'Utility data'!$B$18/Facility!$B$8)</f>
        <v>#VALUE!</v>
      </c>
    </row>
    <row r="21" customFormat="false" ht="15" hidden="false" customHeight="false" outlineLevel="0" collapsed="false">
      <c r="A21" s="8" t="s">
        <v>65</v>
      </c>
      <c r="B21" s="18" t="n">
        <f aca="false">'Utility data'!$B$18*Facility!$B$22/1000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0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6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21.75" hidden="false" customHeight="true" outlineLevel="0" collapsed="false">
      <c r="A1" s="1" t="s">
        <v>66</v>
      </c>
      <c r="B1" s="2"/>
      <c r="C1" s="2"/>
      <c r="D1" s="2"/>
      <c r="E1" s="2"/>
      <c r="F1" s="2"/>
      <c r="G1" s="2"/>
      <c r="H1" s="2"/>
    </row>
    <row r="2" customFormat="false" ht="15" hidden="false" customHeight="false" outlineLevel="0" collapsed="false">
      <c r="A2" s="3" t="s">
        <v>67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4" t="s">
        <v>2</v>
      </c>
      <c r="B3" s="5"/>
      <c r="C3" s="5"/>
      <c r="D3" s="5"/>
      <c r="E3" s="5"/>
      <c r="F3" s="5"/>
      <c r="G3" s="5"/>
      <c r="H3" s="5"/>
    </row>
    <row r="5" customFormat="false" ht="15" hidden="false" customHeight="false" outlineLevel="0" collapsed="false">
      <c r="A5" s="11" t="s">
        <v>68</v>
      </c>
      <c r="B5" s="11" t="s">
        <v>69</v>
      </c>
      <c r="C5" s="11" t="s">
        <v>70</v>
      </c>
      <c r="D5" s="11" t="s">
        <v>46</v>
      </c>
      <c r="E5" s="11" t="s">
        <v>71</v>
      </c>
      <c r="F5" s="11" t="s">
        <v>72</v>
      </c>
      <c r="G5" s="11" t="s">
        <v>73</v>
      </c>
      <c r="H5" s="11" t="s">
        <v>74</v>
      </c>
    </row>
    <row r="6" customFormat="false" ht="15" hidden="false" customHeight="false" outlineLevel="0" collapsed="false">
      <c r="A6" s="8" t="s">
        <v>75</v>
      </c>
      <c r="B6" s="19" t="n">
        <v>2</v>
      </c>
      <c r="C6" s="19" t="n">
        <v>45</v>
      </c>
      <c r="D6" s="19" t="n">
        <v>0.65</v>
      </c>
      <c r="E6" s="19" t="n">
        <v>6000</v>
      </c>
      <c r="F6" s="20" t="n">
        <f aca="false">B6*C6*D6*E6</f>
        <v>351000</v>
      </c>
      <c r="G6" s="13" t="n">
        <f aca="false">IF($F$16=0,0,F6/$F$16)</f>
        <v>0.246093010537829</v>
      </c>
      <c r="H6" s="14" t="n">
        <f aca="false">F6*Facility!$B$19</f>
        <v>66690</v>
      </c>
    </row>
    <row r="7" customFormat="false" ht="15" hidden="false" customHeight="false" outlineLevel="0" collapsed="false">
      <c r="A7" s="8" t="s">
        <v>76</v>
      </c>
      <c r="B7" s="19" t="n">
        <v>24</v>
      </c>
      <c r="C7" s="19" t="n">
        <v>7.5</v>
      </c>
      <c r="D7" s="19" t="n">
        <v>0.55</v>
      </c>
      <c r="E7" s="19" t="n">
        <v>5500</v>
      </c>
      <c r="F7" s="20" t="n">
        <f aca="false">B7*C7*D7*E7</f>
        <v>544500</v>
      </c>
      <c r="G7" s="13" t="n">
        <f aca="false">IF($F$16=0,0,F7/$F$16)</f>
        <v>0.381759670193299</v>
      </c>
      <c r="H7" s="14" t="n">
        <f aca="false">F7*Facility!$B$19</f>
        <v>103455</v>
      </c>
    </row>
    <row r="8" customFormat="false" ht="15" hidden="false" customHeight="false" outlineLevel="0" collapsed="false">
      <c r="A8" s="8" t="s">
        <v>77</v>
      </c>
      <c r="B8" s="19" t="n">
        <v>2</v>
      </c>
      <c r="C8" s="19" t="n">
        <v>30</v>
      </c>
      <c r="D8" s="19" t="n">
        <v>0.6</v>
      </c>
      <c r="E8" s="19" t="n">
        <v>6500</v>
      </c>
      <c r="F8" s="20" t="n">
        <f aca="false">B8*C8*D8*E8</f>
        <v>234000</v>
      </c>
      <c r="G8" s="13" t="n">
        <f aca="false">IF($F$16=0,0,F8/$F$16)</f>
        <v>0.164062007025219</v>
      </c>
      <c r="H8" s="14" t="n">
        <f aca="false">F8*Facility!$B$19</f>
        <v>44460</v>
      </c>
    </row>
    <row r="9" customFormat="false" ht="15" hidden="false" customHeight="false" outlineLevel="0" collapsed="false">
      <c r="A9" s="8" t="s">
        <v>78</v>
      </c>
      <c r="B9" s="19" t="n">
        <v>6</v>
      </c>
      <c r="C9" s="19" t="n">
        <v>5.5</v>
      </c>
      <c r="D9" s="19" t="n">
        <v>0.7</v>
      </c>
      <c r="E9" s="19" t="n">
        <v>4500</v>
      </c>
      <c r="F9" s="20" t="n">
        <f aca="false">B9*C9*D9*E9</f>
        <v>103950</v>
      </c>
      <c r="G9" s="13" t="n">
        <f aca="false">IF($F$16=0,0,F9/$F$16)</f>
        <v>0.072881391582357</v>
      </c>
      <c r="H9" s="14" t="n">
        <f aca="false">F9*Facility!$B$19</f>
        <v>19750.5</v>
      </c>
    </row>
    <row r="10" customFormat="false" ht="15" hidden="false" customHeight="false" outlineLevel="0" collapsed="false">
      <c r="A10" s="8" t="s">
        <v>79</v>
      </c>
      <c r="B10" s="19" t="n">
        <v>1</v>
      </c>
      <c r="C10" s="19" t="n">
        <v>22</v>
      </c>
      <c r="D10" s="19" t="n">
        <v>0.9</v>
      </c>
      <c r="E10" s="19" t="n">
        <v>4200</v>
      </c>
      <c r="F10" s="20" t="n">
        <f aca="false">B10*C10*D10*E10</f>
        <v>83160</v>
      </c>
      <c r="G10" s="13" t="n">
        <f aca="false">IF($F$16=0,0,F10/$F$16)</f>
        <v>0.0583051132658856</v>
      </c>
      <c r="H10" s="14" t="n">
        <f aca="false">F10*Facility!$B$19</f>
        <v>15800.4</v>
      </c>
    </row>
    <row r="11" customFormat="false" ht="15" hidden="false" customHeight="false" outlineLevel="0" collapsed="false">
      <c r="A11" s="8" t="s">
        <v>80</v>
      </c>
      <c r="B11" s="19" t="n">
        <v>1</v>
      </c>
      <c r="C11" s="19" t="n">
        <v>6</v>
      </c>
      <c r="D11" s="19" t="n">
        <v>1</v>
      </c>
      <c r="E11" s="19" t="n">
        <v>4380</v>
      </c>
      <c r="F11" s="20" t="n">
        <f aca="false">B11*C11*D11*E11</f>
        <v>26280</v>
      </c>
      <c r="G11" s="13" t="n">
        <f aca="false">IF($F$16=0,0,F11/$F$16)</f>
        <v>0.0184254254043708</v>
      </c>
      <c r="H11" s="14" t="n">
        <f aca="false">F11*Facility!$B$19</f>
        <v>4993.2</v>
      </c>
    </row>
    <row r="12" customFormat="false" ht="15" hidden="false" customHeight="false" outlineLevel="0" collapsed="false">
      <c r="A12" s="8" t="s">
        <v>81</v>
      </c>
      <c r="B12" s="19" t="n">
        <v>1</v>
      </c>
      <c r="C12" s="19" t="n">
        <v>15</v>
      </c>
      <c r="D12" s="19" t="n">
        <v>0.5</v>
      </c>
      <c r="E12" s="19" t="n">
        <v>3500</v>
      </c>
      <c r="F12" s="20" t="n">
        <f aca="false">B12*C12*D12*E12</f>
        <v>26250</v>
      </c>
      <c r="G12" s="13" t="n">
        <f aca="false">IF($F$16=0,0,F12/$F$16)</f>
        <v>0.0184043918137265</v>
      </c>
      <c r="H12" s="14" t="n">
        <f aca="false">F12*Facility!$B$19</f>
        <v>4987.5</v>
      </c>
    </row>
    <row r="13" customFormat="false" ht="15" hidden="false" customHeight="false" outlineLevel="0" collapsed="false">
      <c r="A13" s="8" t="s">
        <v>82</v>
      </c>
      <c r="B13" s="19" t="n">
        <v>3</v>
      </c>
      <c r="C13" s="19" t="n">
        <v>5.5</v>
      </c>
      <c r="D13" s="19" t="n">
        <v>0.5</v>
      </c>
      <c r="E13" s="19" t="n">
        <v>3000</v>
      </c>
      <c r="F13" s="20" t="n">
        <f aca="false">B13*C13*D13*E13</f>
        <v>24750</v>
      </c>
      <c r="G13" s="13" t="n">
        <f aca="false">IF($F$16=0,0,F13/$F$16)</f>
        <v>0.0173527122815136</v>
      </c>
      <c r="H13" s="14" t="n">
        <f aca="false">F13*Facility!$B$19</f>
        <v>4702.5</v>
      </c>
    </row>
    <row r="14" customFormat="false" ht="15" hidden="false" customHeight="false" outlineLevel="0" collapsed="false">
      <c r="A14" s="8" t="s">
        <v>83</v>
      </c>
      <c r="B14" s="19" t="n">
        <v>1</v>
      </c>
      <c r="C14" s="19" t="n">
        <v>18</v>
      </c>
      <c r="D14" s="19" t="n">
        <v>0.6</v>
      </c>
      <c r="E14" s="19" t="n">
        <v>3000</v>
      </c>
      <c r="F14" s="20" t="n">
        <f aca="false">B14*C14*D14*E14</f>
        <v>32400</v>
      </c>
      <c r="G14" s="13" t="n">
        <f aca="false">IF($F$16=0,0,F14/$F$16)</f>
        <v>0.0227162778957996</v>
      </c>
      <c r="H14" s="14" t="n">
        <f aca="false">F14*Facility!$B$19</f>
        <v>6156</v>
      </c>
    </row>
    <row r="15" customFormat="false" ht="15" hidden="false" customHeight="false" outlineLevel="0" collapsed="false">
      <c r="A15" s="8" t="s">
        <v>84</v>
      </c>
      <c r="B15" s="19" t="n">
        <v>1</v>
      </c>
      <c r="C15" s="19" t="n">
        <v>0</v>
      </c>
      <c r="D15" s="19" t="n">
        <v>0</v>
      </c>
      <c r="E15" s="19" t="n">
        <v>0</v>
      </c>
      <c r="F15" s="20" t="n">
        <f aca="false">B15*C15*D15*E15</f>
        <v>0</v>
      </c>
      <c r="G15" s="13" t="n">
        <f aca="false">IF($F$16=0,0,F15/$F$16)</f>
        <v>0</v>
      </c>
      <c r="H15" s="14" t="n">
        <f aca="false">F15*Facility!$B$19</f>
        <v>0</v>
      </c>
    </row>
    <row r="16" customFormat="false" ht="15" hidden="false" customHeight="false" outlineLevel="0" collapsed="false">
      <c r="A16" s="15" t="s">
        <v>63</v>
      </c>
      <c r="F16" s="16" t="n">
        <f aca="false">SUM(F6:F15)</f>
        <v>1426290</v>
      </c>
      <c r="G16" s="13" t="n">
        <f aca="false">IF($F$16=0,0,F16/$F$16)</f>
        <v>1</v>
      </c>
      <c r="H16" s="14" t="n">
        <f aca="false">F16*Facility!$B$19</f>
        <v>270995.1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34"/>
    <col collapsed="false" customWidth="true" hidden="false" outlineLevel="0" max="5" min="2" style="0" width="16"/>
    <col collapsed="false" customWidth="true" hidden="false" outlineLevel="0" max="7" min="6" style="0" width="14"/>
    <col collapsed="false" customWidth="true" hidden="false" outlineLevel="0" max="8" min="8" style="0" width="16"/>
  </cols>
  <sheetData>
    <row r="1" customFormat="false" ht="21.75" hidden="false" customHeight="true" outlineLevel="0" collapsed="false">
      <c r="A1" s="1" t="s">
        <v>85</v>
      </c>
      <c r="B1" s="2"/>
      <c r="C1" s="2"/>
      <c r="D1" s="2"/>
      <c r="E1" s="2"/>
      <c r="F1" s="2"/>
      <c r="G1" s="2"/>
      <c r="H1" s="2"/>
    </row>
    <row r="2" customFormat="false" ht="15" hidden="false" customHeight="false" outlineLevel="0" collapsed="false">
      <c r="A2" s="3" t="s">
        <v>86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4" t="s">
        <v>2</v>
      </c>
      <c r="B3" s="5"/>
      <c r="C3" s="5"/>
      <c r="D3" s="5"/>
      <c r="E3" s="5"/>
      <c r="F3" s="5"/>
      <c r="G3" s="5"/>
      <c r="H3" s="5"/>
    </row>
    <row r="5" customFormat="false" ht="15" hidden="false" customHeight="false" outlineLevel="0" collapsed="false">
      <c r="A5" s="11" t="s">
        <v>87</v>
      </c>
      <c r="B5" s="11" t="s">
        <v>88</v>
      </c>
      <c r="C5" s="11" t="s">
        <v>89</v>
      </c>
      <c r="D5" s="11" t="s">
        <v>90</v>
      </c>
      <c r="E5" s="11" t="s">
        <v>91</v>
      </c>
      <c r="F5" s="11" t="s">
        <v>92</v>
      </c>
      <c r="G5" s="11" t="s">
        <v>93</v>
      </c>
      <c r="H5" s="11" t="s">
        <v>94</v>
      </c>
    </row>
    <row r="6" customFormat="false" ht="15" hidden="false" customHeight="false" outlineLevel="0" collapsed="false">
      <c r="A6" s="8" t="s">
        <v>95</v>
      </c>
      <c r="B6" s="12" t="n">
        <v>38000</v>
      </c>
      <c r="C6" s="12" t="n">
        <v>8</v>
      </c>
      <c r="D6" s="12" t="n">
        <v>0</v>
      </c>
      <c r="E6" s="14" t="n">
        <f aca="false">B6*Facility!$B$19+C6*Facility!$B$20*12+D6*Facility!$B$21</f>
        <v>8372</v>
      </c>
      <c r="F6" s="12" t="n">
        <v>12000</v>
      </c>
      <c r="G6" s="21" t="n">
        <f aca="false">IF(E6=0,0,F6/E6)</f>
        <v>1.43334925943622</v>
      </c>
      <c r="H6" s="18" t="n">
        <f aca="false">B6*Facility!$B$22/1000</f>
        <v>10.64</v>
      </c>
    </row>
    <row r="7" customFormat="false" ht="15" hidden="false" customHeight="false" outlineLevel="0" collapsed="false">
      <c r="A7" s="8" t="s">
        <v>96</v>
      </c>
      <c r="B7" s="12" t="n">
        <v>42000</v>
      </c>
      <c r="C7" s="12" t="n">
        <v>6</v>
      </c>
      <c r="D7" s="12" t="n">
        <v>0</v>
      </c>
      <c r="E7" s="14" t="n">
        <f aca="false">B7*Facility!$B$19+C7*Facility!$B$20*12+D7*Facility!$B$21</f>
        <v>8844</v>
      </c>
      <c r="F7" s="12" t="n">
        <v>4500</v>
      </c>
      <c r="G7" s="21" t="n">
        <f aca="false">IF(E7=0,0,F7/E7)</f>
        <v>0.508819538670285</v>
      </c>
      <c r="H7" s="18" t="n">
        <f aca="false">B7*Facility!$B$22/1000</f>
        <v>11.76</v>
      </c>
    </row>
    <row r="8" customFormat="false" ht="15" hidden="false" customHeight="false" outlineLevel="0" collapsed="false">
      <c r="A8" s="8" t="s">
        <v>97</v>
      </c>
      <c r="B8" s="12" t="n">
        <v>55000</v>
      </c>
      <c r="C8" s="12" t="n">
        <v>10</v>
      </c>
      <c r="D8" s="12" t="n">
        <v>0</v>
      </c>
      <c r="E8" s="14" t="n">
        <f aca="false">B8*Facility!$B$19+C8*Facility!$B$20*12+D8*Facility!$B$21</f>
        <v>11890</v>
      </c>
      <c r="F8" s="12" t="n">
        <v>18000</v>
      </c>
      <c r="G8" s="21" t="n">
        <f aca="false">IF(E8=0,0,F8/E8)</f>
        <v>1.51387720773759</v>
      </c>
      <c r="H8" s="18" t="n">
        <f aca="false">B8*Facility!$B$22/1000</f>
        <v>15.4</v>
      </c>
    </row>
    <row r="9" customFormat="false" ht="15" hidden="false" customHeight="false" outlineLevel="0" collapsed="false">
      <c r="A9" s="8" t="s">
        <v>98</v>
      </c>
      <c r="B9" s="12" t="n">
        <v>0</v>
      </c>
      <c r="C9" s="12" t="n">
        <v>45</v>
      </c>
      <c r="D9" s="12" t="n">
        <v>0</v>
      </c>
      <c r="E9" s="14" t="n">
        <f aca="false">B9*Facility!$B$19+C9*Facility!$B$20*12+D9*Facility!$B$21</f>
        <v>6480</v>
      </c>
      <c r="F9" s="12" t="n">
        <v>9000</v>
      </c>
      <c r="G9" s="21" t="n">
        <f aca="false">IF(E9=0,0,F9/E9)</f>
        <v>1.38888888888889</v>
      </c>
      <c r="H9" s="18" t="n">
        <f aca="false">B9*Facility!$B$22/1000</f>
        <v>0</v>
      </c>
    </row>
    <row r="10" customFormat="false" ht="15" hidden="false" customHeight="false" outlineLevel="0" collapsed="false">
      <c r="A10" s="8" t="s">
        <v>99</v>
      </c>
      <c r="B10" s="12" t="n">
        <v>26000</v>
      </c>
      <c r="C10" s="12" t="n">
        <v>5</v>
      </c>
      <c r="D10" s="12" t="n">
        <v>0</v>
      </c>
      <c r="E10" s="14" t="n">
        <f aca="false">B10*Facility!$B$19+C10*Facility!$B$20*12+D10*Facility!$B$21</f>
        <v>5660</v>
      </c>
      <c r="F10" s="12" t="n">
        <v>3000</v>
      </c>
      <c r="G10" s="21" t="n">
        <f aca="false">IF(E10=0,0,F10/E10)</f>
        <v>0.530035335689046</v>
      </c>
      <c r="H10" s="18" t="n">
        <f aca="false">B10*Facility!$B$22/1000</f>
        <v>7.28</v>
      </c>
    </row>
    <row r="11" customFormat="false" ht="15" hidden="false" customHeight="false" outlineLevel="0" collapsed="false">
      <c r="A11" s="8" t="s">
        <v>100</v>
      </c>
      <c r="B11" s="12" t="n">
        <v>0</v>
      </c>
      <c r="C11" s="12" t="n">
        <v>0</v>
      </c>
      <c r="D11" s="12" t="n">
        <v>9000</v>
      </c>
      <c r="E11" s="14" t="n">
        <f aca="false">B11*Facility!$B$19+C11*Facility!$B$20*12+D11*Facility!$B$21</f>
        <v>10350</v>
      </c>
      <c r="F11" s="12" t="n">
        <v>7000</v>
      </c>
      <c r="G11" s="21" t="n">
        <f aca="false">IF(E11=0,0,F11/E11)</f>
        <v>0.676328502415459</v>
      </c>
      <c r="H11" s="18" t="n">
        <f aca="false">B11*Facility!$B$22/1000</f>
        <v>0</v>
      </c>
    </row>
    <row r="12" customFormat="false" ht="15" hidden="false" customHeight="false" outlineLevel="0" collapsed="false">
      <c r="A12" s="8" t="s">
        <v>101</v>
      </c>
      <c r="B12" s="12" t="n">
        <v>180000</v>
      </c>
      <c r="C12" s="12" t="n">
        <v>30</v>
      </c>
      <c r="D12" s="12" t="n">
        <v>0</v>
      </c>
      <c r="E12" s="14" t="n">
        <f aca="false">B12*Facility!$B$19+C12*Facility!$B$20*12+D12*Facility!$B$21</f>
        <v>38520</v>
      </c>
      <c r="F12" s="12" t="n">
        <v>140000</v>
      </c>
      <c r="G12" s="21" t="n">
        <f aca="false">IF(E12=0,0,F12/E12)</f>
        <v>3.63447559709242</v>
      </c>
      <c r="H12" s="18" t="n">
        <f aca="false">B12*Facility!$B$22/1000</f>
        <v>50.4</v>
      </c>
    </row>
    <row r="13" customFormat="false" ht="15" hidden="false" customHeight="false" outlineLevel="0" collapsed="false">
      <c r="A13" s="8" t="s">
        <v>102</v>
      </c>
      <c r="B13" s="12" t="n">
        <v>15000</v>
      </c>
      <c r="C13" s="12" t="n">
        <v>0</v>
      </c>
      <c r="D13" s="12" t="n">
        <v>0</v>
      </c>
      <c r="E13" s="14" t="n">
        <f aca="false">B13*Facility!$B$19+C13*Facility!$B$20*12+D13*Facility!$B$21</f>
        <v>2850</v>
      </c>
      <c r="F13" s="12" t="n">
        <v>12000</v>
      </c>
      <c r="G13" s="21" t="n">
        <f aca="false">IF(E13=0,0,F13/E13)</f>
        <v>4.21052631578947</v>
      </c>
      <c r="H13" s="18" t="n">
        <f aca="false">B13*Facility!$B$22/1000</f>
        <v>4.2</v>
      </c>
    </row>
    <row r="14" customFormat="false" ht="15" hidden="false" customHeight="false" outlineLevel="0" collapsed="false">
      <c r="A14" s="15" t="s">
        <v>103</v>
      </c>
      <c r="B14" s="16" t="n">
        <f aca="false">SUM(B6:B13)</f>
        <v>356000</v>
      </c>
      <c r="E14" s="17" t="n">
        <f aca="false">SUM(E6:E13)</f>
        <v>92966</v>
      </c>
      <c r="F14" s="17" t="n">
        <f aca="false">SUM(F6:F13)</f>
        <v>205500</v>
      </c>
      <c r="G14" s="22" t="n">
        <f aca="false">IF(E14=0,0,F14/E14)</f>
        <v>2.2104855538584</v>
      </c>
      <c r="H14" s="23" t="n">
        <f aca="false">SUM(H6:H13)</f>
        <v>99.68</v>
      </c>
    </row>
    <row r="16" customFormat="false" ht="15" hidden="false" customHeight="false" outlineLevel="0" collapsed="false">
      <c r="A16" s="8" t="s">
        <v>104</v>
      </c>
      <c r="B16" s="13" t="n">
        <f aca="false">IF('Utility data'!$H$18=0,0,E14/'Utility data'!$H$18)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110"/>
  </cols>
  <sheetData>
    <row r="1" customFormat="false" ht="21.75" hidden="false" customHeight="true" outlineLevel="0" collapsed="false">
      <c r="A1" s="1" t="s">
        <v>105</v>
      </c>
      <c r="B1" s="2"/>
      <c r="C1" s="2"/>
      <c r="D1" s="2"/>
      <c r="E1" s="2"/>
      <c r="F1" s="2"/>
      <c r="G1" s="2"/>
      <c r="H1" s="2"/>
    </row>
    <row r="2" customFormat="false" ht="15" hidden="false" customHeight="false" outlineLevel="0" collapsed="false">
      <c r="A2" s="3" t="s">
        <v>106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4" t="s">
        <v>2</v>
      </c>
      <c r="B3" s="5"/>
      <c r="C3" s="5"/>
      <c r="D3" s="5"/>
      <c r="E3" s="5"/>
      <c r="F3" s="5"/>
      <c r="G3" s="5"/>
      <c r="H3" s="5"/>
    </row>
    <row r="5" customFormat="false" ht="27.75" hidden="false" customHeight="true" outlineLevel="0" collapsed="false">
      <c r="A5" s="24" t="s">
        <v>107</v>
      </c>
    </row>
    <row r="6" customFormat="false" ht="27.75" hidden="false" customHeight="true" outlineLevel="0" collapsed="false">
      <c r="A6" s="24" t="s">
        <v>108</v>
      </c>
    </row>
    <row r="7" customFormat="false" ht="27.75" hidden="false" customHeight="true" outlineLevel="0" collapsed="false">
      <c r="A7" s="24" t="s">
        <v>109</v>
      </c>
    </row>
    <row r="8" customFormat="false" ht="27.75" hidden="false" customHeight="true" outlineLevel="0" collapsed="false">
      <c r="A8" s="24" t="s">
        <v>110</v>
      </c>
    </row>
    <row r="9" customFormat="false" ht="27.75" hidden="false" customHeight="true" outlineLevel="0" collapsed="false">
      <c r="A9" s="24" t="s">
        <v>111</v>
      </c>
    </row>
    <row r="10" customFormat="false" ht="27.75" hidden="false" customHeight="true" outlineLevel="0" collapsed="false">
      <c r="A10" s="24" t="s">
        <v>112</v>
      </c>
    </row>
    <row r="11" customFormat="false" ht="27.75" hidden="false" customHeight="true" outlineLevel="0" collapsed="false">
      <c r="A11" s="24" t="s">
        <v>113</v>
      </c>
    </row>
    <row r="12" customFormat="false" ht="27.75" hidden="false" customHeight="true" outlineLevel="0" collapsed="false">
      <c r="A12" s="24" t="s">
        <v>114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2026-07-31T17:41:39Z</dcterms:created>
  <dc:creator>openpyxl</dc:creator>
  <dc:description/>
  <dc:language>en-US</dc:language>
  <cp:lastModifiedBy/>
  <dcterms:modified xsi:type="dcterms:W3CDTF">2026-07-31T17:41:39Z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